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ationalgridplc-my.sharepoint.com/personal/kevin_silveira_us_nationalgrid_com/Documents/4 - Special Projects/Jens Calc/"/>
    </mc:Choice>
  </mc:AlternateContent>
  <xr:revisionPtr revIDLastSave="6" documentId="8_{133FC4C4-ABEC-4FD3-9F7C-46DB83F68FAF}" xr6:coauthVersionLast="47" xr6:coauthVersionMax="47" xr10:uidLastSave="{4B02B1EC-CC59-481F-A78D-8F4D7B4E0627}"/>
  <bookViews>
    <workbookView xWindow="28680" yWindow="-120" windowWidth="20730" windowHeight="11160" tabRatio="888" activeTab="10" xr2:uid="{03F3996C-C693-47CF-A55E-0CD6758696D2}"/>
  </bookViews>
  <sheets>
    <sheet name="Instruction Page" sheetId="14" r:id="rId1"/>
    <sheet name="Color Code" sheetId="3" state="hidden" r:id="rId2"/>
    <sheet name="Calculator " sheetId="2" r:id="rId3"/>
    <sheet name="HP Sizer" sheetId="6" state="hidden" r:id="rId4"/>
    <sheet name="Operating AC" sheetId="12" state="hidden" r:id="rId5"/>
    <sheet name="Operating Heat" sheetId="10" state="hidden" r:id="rId6"/>
    <sheet name="Install Cost" sheetId="9" state="hidden" r:id="rId7"/>
    <sheet name="GHG Estimator" sheetId="8" state="hidden" r:id="rId8"/>
    <sheet name="Incentive Estimator" sheetId="7" state="hidden" r:id="rId9"/>
    <sheet name="Lists" sheetId="4" state="hidden" r:id="rId10"/>
    <sheet name="Print Out Page" sheetId="16" r:id="rId11"/>
  </sheets>
  <definedNames>
    <definedName name="KS">'Print Out Page'!$H$36</definedName>
    <definedName name="_xlnm.Print_Area" localSheetId="10">'Print Out Page'!$X$13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N29" i="16"/>
  <c r="N30" i="16" s="1"/>
  <c r="D28" i="2"/>
  <c r="H7" i="2"/>
  <c r="H8" i="2"/>
  <c r="N26" i="16"/>
  <c r="O34" i="16"/>
  <c r="R25" i="16" l="1"/>
  <c r="R19" i="16"/>
  <c r="E28" i="16"/>
  <c r="E29" i="16" s="1"/>
  <c r="E30" i="16" s="1"/>
  <c r="E27" i="16"/>
  <c r="E26" i="16"/>
  <c r="M3" i="4"/>
  <c r="C4" i="8"/>
  <c r="I4" i="12"/>
  <c r="T7" i="10"/>
  <c r="C13" i="6" l="1"/>
  <c r="C14" i="6" s="1"/>
  <c r="C13" i="10" l="1"/>
  <c r="C37" i="10" l="1"/>
  <c r="N12" i="10"/>
  <c r="C4" i="6" l="1"/>
  <c r="C5" i="6"/>
  <c r="J4" i="12"/>
  <c r="F4" i="12"/>
  <c r="G4" i="12" s="1"/>
  <c r="C5" i="12"/>
  <c r="C6" i="12" s="1"/>
  <c r="C6" i="6" l="1"/>
  <c r="C8" i="6" s="1"/>
  <c r="C10" i="6" s="1"/>
  <c r="C16" i="6" s="1"/>
  <c r="C7" i="6"/>
  <c r="C9" i="6" s="1"/>
  <c r="C11" i="6" s="1"/>
  <c r="C17" i="6" s="1"/>
  <c r="C7" i="12"/>
  <c r="C10" i="12" s="1"/>
  <c r="C8" i="12"/>
  <c r="C11" i="12" s="1"/>
  <c r="M29" i="16" l="1"/>
  <c r="M28" i="16"/>
  <c r="C19" i="6"/>
  <c r="C17" i="2" s="1"/>
  <c r="C12" i="12"/>
  <c r="C31" i="2" s="1"/>
  <c r="M26" i="16" s="1"/>
  <c r="M30" i="16" l="1"/>
  <c r="R24" i="16" s="1"/>
  <c r="M25" i="16" s="1"/>
  <c r="C13" i="12"/>
  <c r="B6" i="8"/>
  <c r="C25" i="10"/>
  <c r="C26" i="10"/>
  <c r="C27" i="10"/>
  <c r="C28" i="10"/>
  <c r="C29" i="10"/>
  <c r="C30" i="10"/>
  <c r="C31" i="10"/>
  <c r="C32" i="10"/>
  <c r="C22" i="10"/>
  <c r="C23" i="10"/>
  <c r="C24" i="10"/>
  <c r="C21" i="10"/>
  <c r="C14" i="10"/>
  <c r="C10" i="10"/>
  <c r="D10" i="10" s="1"/>
  <c r="C8" i="10"/>
  <c r="C12" i="10"/>
  <c r="N11" i="10" s="1"/>
  <c r="N13" i="10" s="1" a="1"/>
  <c r="N13" i="10" s="1"/>
  <c r="D12" i="10" s="1"/>
  <c r="C11" i="10"/>
  <c r="C34" i="10" l="1"/>
  <c r="C9" i="10"/>
  <c r="D9" i="10" s="1"/>
  <c r="C7" i="10"/>
  <c r="C6" i="10"/>
  <c r="C16" i="10" s="1"/>
  <c r="N7" i="10"/>
  <c r="C5" i="10"/>
  <c r="C6" i="9"/>
  <c r="C5" i="9"/>
  <c r="C7" i="9" s="1"/>
  <c r="C9" i="9" s="1"/>
  <c r="C22" i="2" s="1"/>
  <c r="C5" i="7"/>
  <c r="D12" i="2"/>
  <c r="O35" i="16" s="1"/>
  <c r="D5" i="8"/>
  <c r="C8" i="7"/>
  <c r="H22" i="2"/>
  <c r="D32" i="10" s="1"/>
  <c r="D34" i="10" s="1"/>
  <c r="H21" i="2"/>
  <c r="D31" i="10" s="1"/>
  <c r="H20" i="2"/>
  <c r="D30" i="10" s="1"/>
  <c r="H19" i="2"/>
  <c r="D29" i="10" s="1"/>
  <c r="H18" i="2"/>
  <c r="D28" i="10" s="1"/>
  <c r="H17" i="2"/>
  <c r="D27" i="10" s="1"/>
  <c r="H16" i="2"/>
  <c r="D26" i="10" s="1"/>
  <c r="H15" i="2"/>
  <c r="D25" i="10" s="1"/>
  <c r="H14" i="2"/>
  <c r="D24" i="10" s="1"/>
  <c r="H13" i="2"/>
  <c r="D23" i="10" s="1"/>
  <c r="H12" i="2"/>
  <c r="H11" i="2"/>
  <c r="D21" i="10" s="1"/>
  <c r="D11" i="10"/>
  <c r="I7" i="8"/>
  <c r="I6" i="8"/>
  <c r="C35" i="10" l="1"/>
  <c r="C41" i="10"/>
  <c r="C28" i="2" s="1"/>
  <c r="D41" i="10"/>
  <c r="H6" i="10"/>
  <c r="G6" i="10"/>
  <c r="D22" i="10"/>
  <c r="D16" i="10"/>
  <c r="C10" i="7"/>
  <c r="C21" i="2" s="1"/>
  <c r="C6" i="7"/>
  <c r="D18" i="16" l="1"/>
  <c r="D19" i="16" s="1"/>
  <c r="C36" i="10"/>
  <c r="C38" i="10" s="1"/>
  <c r="M17" i="16" s="1"/>
  <c r="D26" i="16"/>
  <c r="C43" i="10"/>
  <c r="C24" i="2" s="1"/>
  <c r="C5" i="8"/>
  <c r="C17" i="10"/>
  <c r="C18" i="10" s="1"/>
  <c r="C42" i="10" s="1"/>
  <c r="D28" i="16" l="1"/>
  <c r="C29" i="2"/>
  <c r="C44" i="10"/>
  <c r="C25" i="2" l="1"/>
  <c r="D27" i="16"/>
  <c r="C6" i="8"/>
  <c r="C8" i="8" s="1"/>
  <c r="C33" i="2" s="1"/>
  <c r="D29" i="16" l="1"/>
  <c r="C26" i="2"/>
  <c r="D30" i="16" s="1"/>
  <c r="M18" i="16"/>
  <c r="R23" i="16" l="1"/>
  <c r="D25" i="16" s="1"/>
  <c r="H20" i="16"/>
  <c r="D20"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<sst xmlns="http://schemas.openxmlformats.org/spreadsheetml/2006/main" count="500" uniqueCount="292">
  <si>
    <t>Color Legends</t>
  </si>
  <si>
    <t>Headings</t>
  </si>
  <si>
    <t>Drop down menu</t>
  </si>
  <si>
    <t>Data Inputs</t>
  </si>
  <si>
    <t>Calculated Result</t>
  </si>
  <si>
    <t>Calculated Non-Revisable</t>
  </si>
  <si>
    <t>Info</t>
  </si>
  <si>
    <t>General Information</t>
  </si>
  <si>
    <t>Billing Data</t>
  </si>
  <si>
    <t>Business type</t>
  </si>
  <si>
    <t>Fuel Data</t>
  </si>
  <si>
    <t xml:space="preserve">Enter the total floor space for the building. </t>
  </si>
  <si>
    <t>Includes DHW</t>
  </si>
  <si>
    <t>Enter the floor space proposed to be conditioned by the heat pumps for the building.</t>
  </si>
  <si>
    <t>Includes Baseload</t>
  </si>
  <si>
    <t xml:space="preserve">Existing Heating System </t>
  </si>
  <si>
    <t>Select the heating system that the building currently uses.</t>
  </si>
  <si>
    <t>Baseload</t>
  </si>
  <si>
    <t>Existing heating system fuel</t>
  </si>
  <si>
    <t>Yearly</t>
  </si>
  <si>
    <t>Enter the yearly heating fuel units billed to the building.</t>
  </si>
  <si>
    <t>Existing cooling system</t>
  </si>
  <si>
    <t xml:space="preserve">Monthly </t>
  </si>
  <si>
    <t>Fuel Costs</t>
  </si>
  <si>
    <t>Heating Fuel Price</t>
  </si>
  <si>
    <t>Proposed System Information</t>
  </si>
  <si>
    <t>Equipment Type</t>
  </si>
  <si>
    <t>Switch over temp</t>
  </si>
  <si>
    <t>Estimated HP Size</t>
  </si>
  <si>
    <t>Proposed HP Size</t>
  </si>
  <si>
    <t>Estimated System Information</t>
  </si>
  <si>
    <t>Estimated Install Costs</t>
  </si>
  <si>
    <t>Estimated Operating Costs</t>
  </si>
  <si>
    <t>Existing Est. Yearly</t>
  </si>
  <si>
    <t>Proposed Est. Yearly</t>
  </si>
  <si>
    <t>Est. Savings</t>
  </si>
  <si>
    <t>Estimated energy/GHG Savings</t>
  </si>
  <si>
    <t xml:space="preserve"> Heating Fuel Savings</t>
  </si>
  <si>
    <t>The estimated reduction in yearly heating fuel usage attributed to moving from the current heating system to the proposed heating system.</t>
  </si>
  <si>
    <t>Heat Pump Electric Usage</t>
  </si>
  <si>
    <t>Cooling Savings</t>
  </si>
  <si>
    <t xml:space="preserve">The estimated electricity savings attributed to moving from the existing cooling system to the proposed cooling system. </t>
  </si>
  <si>
    <t>GHG Emissions Savings</t>
  </si>
  <si>
    <t xml:space="preserve">The estimated CO2 savings from moving from the current system to the proposed system. Calculation uses the EPA value for each fuel type's equivalent amount of CO2. </t>
  </si>
  <si>
    <t>Disclaimer</t>
  </si>
  <si>
    <t>RBG</t>
  </si>
  <si>
    <t>Font</t>
  </si>
  <si>
    <t>Background</t>
  </si>
  <si>
    <t>Red</t>
  </si>
  <si>
    <t xml:space="preserve">Green </t>
  </si>
  <si>
    <t>Blue</t>
  </si>
  <si>
    <t>Dark Grey</t>
  </si>
  <si>
    <t>Mid grey</t>
  </si>
  <si>
    <t>Light Grey</t>
  </si>
  <si>
    <t>Core Blue</t>
  </si>
  <si>
    <t>Calculated Revisable</t>
  </si>
  <si>
    <t xml:space="preserve">Teal </t>
  </si>
  <si>
    <t>Orange</t>
  </si>
  <si>
    <t>Warning Message</t>
  </si>
  <si>
    <t>Purple</t>
  </si>
  <si>
    <t>Standard: May be edited</t>
  </si>
  <si>
    <t>Magenta</t>
  </si>
  <si>
    <t>Table Data Base</t>
  </si>
  <si>
    <t>Soft Orange</t>
  </si>
  <si>
    <t xml:space="preserve">National Grid Small Business Heat Pump Estimator </t>
  </si>
  <si>
    <t>Business Type</t>
  </si>
  <si>
    <t>Office</t>
  </si>
  <si>
    <t xml:space="preserve">Fuel Data </t>
  </si>
  <si>
    <t>Business SQFT</t>
  </si>
  <si>
    <t>No</t>
  </si>
  <si>
    <t>Existing Heating System</t>
  </si>
  <si>
    <t>Condensing Boilers</t>
  </si>
  <si>
    <t>Oil</t>
  </si>
  <si>
    <t>Window A/C</t>
  </si>
  <si>
    <t>Month</t>
  </si>
  <si>
    <t>Usage</t>
  </si>
  <si>
    <t>Units</t>
  </si>
  <si>
    <t>kWh Price</t>
  </si>
  <si>
    <t>$/kWh</t>
  </si>
  <si>
    <t>January</t>
  </si>
  <si>
    <t>February</t>
  </si>
  <si>
    <t>March</t>
  </si>
  <si>
    <t>GLHP or GWHP</t>
  </si>
  <si>
    <t>April</t>
  </si>
  <si>
    <t>Full displacement</t>
  </si>
  <si>
    <t>May</t>
  </si>
  <si>
    <t>June</t>
  </si>
  <si>
    <t>Tons</t>
  </si>
  <si>
    <t>July</t>
  </si>
  <si>
    <t>August</t>
  </si>
  <si>
    <t>September</t>
  </si>
  <si>
    <t>October</t>
  </si>
  <si>
    <t>November</t>
  </si>
  <si>
    <t>December</t>
  </si>
  <si>
    <t>Heating Operating Costs</t>
  </si>
  <si>
    <t>kWh</t>
  </si>
  <si>
    <t>Metric Tons of CO2</t>
  </si>
  <si>
    <t>Contractor</t>
  </si>
  <si>
    <t>Contact Name</t>
  </si>
  <si>
    <t>Phone Number</t>
  </si>
  <si>
    <t>Email</t>
  </si>
  <si>
    <t>rebate from National Grid</t>
  </si>
  <si>
    <t>This rebate will offset</t>
  </si>
  <si>
    <t>with this new system</t>
  </si>
  <si>
    <t>Cooling Operating Costs</t>
  </si>
  <si>
    <t>These projections assume:</t>
  </si>
  <si>
    <t>Building Type</t>
  </si>
  <si>
    <t>Cooling Load (KBtu per sf, assumed)</t>
  </si>
  <si>
    <t>Heating Load (kBtu per sf)</t>
  </si>
  <si>
    <t>switch over temp</t>
  </si>
  <si>
    <t>% of heating left on Fuel</t>
  </si>
  <si>
    <t>Sqft</t>
  </si>
  <si>
    <t>Cooling load</t>
  </si>
  <si>
    <t>Food Sales</t>
  </si>
  <si>
    <t>5°F</t>
  </si>
  <si>
    <t>Heating load</t>
  </si>
  <si>
    <t>Service</t>
  </si>
  <si>
    <t>15°F</t>
  </si>
  <si>
    <t>kBTU</t>
  </si>
  <si>
    <t>Public Assembly</t>
  </si>
  <si>
    <t>30°F</t>
  </si>
  <si>
    <t>Retail non-mall</t>
  </si>
  <si>
    <t>Religious Worship</t>
  </si>
  <si>
    <t>tons</t>
  </si>
  <si>
    <t>Education</t>
  </si>
  <si>
    <t>Outpatient Health</t>
  </si>
  <si>
    <t>Food Service</t>
  </si>
  <si>
    <t>heating size factor</t>
  </si>
  <si>
    <t>Cool ton</t>
  </si>
  <si>
    <t>Heat Ton</t>
  </si>
  <si>
    <t>Ton size</t>
  </si>
  <si>
    <t>A/C Calculations</t>
  </si>
  <si>
    <t>EFLH</t>
  </si>
  <si>
    <t>Hours</t>
  </si>
  <si>
    <t>size</t>
  </si>
  <si>
    <t>SEER</t>
  </si>
  <si>
    <t>Size</t>
  </si>
  <si>
    <t>kBtu</t>
  </si>
  <si>
    <t>ASHP</t>
  </si>
  <si>
    <t xml:space="preserve">Chillers </t>
  </si>
  <si>
    <t>SEERbase</t>
  </si>
  <si>
    <t>BTU/Watt</t>
  </si>
  <si>
    <t>VRF</t>
  </si>
  <si>
    <t xml:space="preserve">DX </t>
  </si>
  <si>
    <t>SEERee</t>
  </si>
  <si>
    <t>None</t>
  </si>
  <si>
    <t>PTAC</t>
  </si>
  <si>
    <t>kWh Cool base</t>
  </si>
  <si>
    <t>kWh Cool EE</t>
  </si>
  <si>
    <t>Savings</t>
  </si>
  <si>
    <t>MMBTU</t>
  </si>
  <si>
    <t>BTUs</t>
  </si>
  <si>
    <t>Heating Calculations</t>
  </si>
  <si>
    <t>Heating Data</t>
  </si>
  <si>
    <t>System</t>
  </si>
  <si>
    <t>Efficiency</t>
  </si>
  <si>
    <t>Fuel</t>
  </si>
  <si>
    <t>BTU</t>
  </si>
  <si>
    <t xml:space="preserve">Includes domestic </t>
  </si>
  <si>
    <t xml:space="preserve">Steam Boilers </t>
  </si>
  <si>
    <t>Electric Resistance</t>
  </si>
  <si>
    <t xml:space="preserve">Boilers </t>
  </si>
  <si>
    <t>Natural Gas</t>
  </si>
  <si>
    <t xml:space="preserve">Furnaces </t>
  </si>
  <si>
    <t>Propane</t>
  </si>
  <si>
    <t xml:space="preserve">Condensing Furnaces </t>
  </si>
  <si>
    <t>HP type</t>
  </si>
  <si>
    <t>Switch over</t>
  </si>
  <si>
    <t>COP</t>
  </si>
  <si>
    <t>Building %</t>
  </si>
  <si>
    <t>Heating Fuel</t>
  </si>
  <si>
    <t xml:space="preserve"> Heating BTUs</t>
  </si>
  <si>
    <t>Heat Pump kWh</t>
  </si>
  <si>
    <t>usage</t>
  </si>
  <si>
    <t>Btus</t>
  </si>
  <si>
    <t>Heating load staying on FF</t>
  </si>
  <si>
    <t>Proposed Heating BTUS</t>
  </si>
  <si>
    <t>Estimated Yearly operating cost</t>
  </si>
  <si>
    <t>Estimated Yearly proposed operating cost</t>
  </si>
  <si>
    <t>Estimate Install Costs</t>
  </si>
  <si>
    <t>HP Type</t>
  </si>
  <si>
    <t>Cost/Ton</t>
  </si>
  <si>
    <t>$/Ton</t>
  </si>
  <si>
    <t>GHG Calcaulator</t>
  </si>
  <si>
    <t>Data Base</t>
  </si>
  <si>
    <t>therm</t>
  </si>
  <si>
    <t xml:space="preserve">Metric Tons </t>
  </si>
  <si>
    <t>Co2</t>
  </si>
  <si>
    <t>https://www.epa.gov/energy/greenhouse-gas-equivalencies-calculator#results</t>
  </si>
  <si>
    <t>Fuel Savings</t>
  </si>
  <si>
    <t>Gallon</t>
  </si>
  <si>
    <t>18lbs=.024 Metric tons</t>
  </si>
  <si>
    <t>1 Gallon =4.2lbs</t>
  </si>
  <si>
    <t>GHG Emissions</t>
  </si>
  <si>
    <t xml:space="preserve">Incentive Calculator </t>
  </si>
  <si>
    <t>incentive/ton</t>
  </si>
  <si>
    <t xml:space="preserve">Incentive </t>
  </si>
  <si>
    <t>yes/No</t>
  </si>
  <si>
    <t>Business type Not used</t>
  </si>
  <si>
    <t>Fuel type logic</t>
  </si>
  <si>
    <t>$/Gallon</t>
  </si>
  <si>
    <t>Air Source Heat Pumps (ASHP)</t>
  </si>
  <si>
    <t>Yes</t>
  </si>
  <si>
    <t>Multi-family</t>
  </si>
  <si>
    <t>$/therm</t>
  </si>
  <si>
    <t>Air Source Variable Refrigerant Flow Heat Pump (VRF)</t>
  </si>
  <si>
    <t>Hospitality (Hotel)</t>
  </si>
  <si>
    <t>Ground Loop Heat Pump (GLHP) or Ground Water Heat Pump (GWHP)</t>
  </si>
  <si>
    <t>School (K-12)</t>
  </si>
  <si>
    <t>Retail</t>
  </si>
  <si>
    <t>Other</t>
  </si>
  <si>
    <t>Warehouse</t>
  </si>
  <si>
    <t>Retail Non-mall</t>
  </si>
  <si>
    <t>Gym</t>
  </si>
  <si>
    <t>Full Service Restaurant</t>
  </si>
  <si>
    <t>Fast Food Restaurant</t>
  </si>
  <si>
    <t>Industrial</t>
  </si>
  <si>
    <t>Retail (Small)</t>
  </si>
  <si>
    <t>Office(Large)</t>
  </si>
  <si>
    <t>Retail (Multi-Story)</t>
  </si>
  <si>
    <t>Restaurant (Full Service)</t>
  </si>
  <si>
    <t>Automotive</t>
  </si>
  <si>
    <t>Other - Preschool</t>
  </si>
  <si>
    <t>Religious</t>
  </si>
  <si>
    <t>Other - Historical Museum</t>
  </si>
  <si>
    <t>Office (Small)</t>
  </si>
  <si>
    <t>Assembly</t>
  </si>
  <si>
    <t>Library</t>
  </si>
  <si>
    <t>Commercial Building</t>
  </si>
  <si>
    <t>Commercial</t>
  </si>
  <si>
    <t>College/University</t>
  </si>
  <si>
    <t>Industrial (Light)</t>
  </si>
  <si>
    <t>Retail (Mult Story)</t>
  </si>
  <si>
    <t>Town Hall</t>
  </si>
  <si>
    <t>Multi-family High-Rise</t>
  </si>
  <si>
    <t>Restaurant (Fast Food/Takeout)</t>
  </si>
  <si>
    <t>Wood Frame</t>
  </si>
  <si>
    <t>Other (Convenience Store)</t>
  </si>
  <si>
    <t>Garage</t>
  </si>
  <si>
    <t>Office (Large)</t>
  </si>
  <si>
    <t>Bank</t>
  </si>
  <si>
    <t>Single Story</t>
  </si>
  <si>
    <t>Commercial Heat Pump Rebate Estimate</t>
  </si>
  <si>
    <t>Recommendation</t>
  </si>
  <si>
    <t>For this project, we recommend installing a</t>
  </si>
  <si>
    <t>Financials</t>
  </si>
  <si>
    <t>Energy Impact</t>
  </si>
  <si>
    <t>MMBTUs of energy annually</t>
  </si>
  <si>
    <t xml:space="preserve">This project will be eligible for a </t>
  </si>
  <si>
    <t>Estimated emissions reduction of</t>
  </si>
  <si>
    <t>Metric tons of CO2 emissions</t>
  </si>
  <si>
    <t>of the upfront project costs</t>
  </si>
  <si>
    <t>Heating</t>
  </si>
  <si>
    <t>Cooling</t>
  </si>
  <si>
    <t>Projected heating costs may</t>
  </si>
  <si>
    <t>Heating Fuel Savings</t>
  </si>
  <si>
    <t>Total estimated project cost is</t>
  </si>
  <si>
    <t>Annual utility bills may</t>
  </si>
  <si>
    <t>Estimated energy savings of</t>
  </si>
  <si>
    <t>Projected cooling costs may</t>
  </si>
  <si>
    <t>Heat Pump SQFT</t>
  </si>
  <si>
    <t>Existing Heating System Fuel</t>
  </si>
  <si>
    <t>Existing Cooling System</t>
  </si>
  <si>
    <t>Switch Over Temp</t>
  </si>
  <si>
    <t>adadf</t>
  </si>
  <si>
    <t>This drop down is for selecting what type of fuel data is available. If monthly billing data is available, select monthly. Otherwise, enter yearly site billing data.</t>
  </si>
  <si>
    <t xml:space="preserve">This calculation is for estimating size only. All projects should have a manual J heat load performed on the building to determine accurate sizing. </t>
  </si>
  <si>
    <t xml:space="preserve">Enter the size of the proposed heat pump size. This value must be entered even if going with the estimated size. </t>
  </si>
  <si>
    <t>Estimated Incentive</t>
  </si>
  <si>
    <t>National Grid makes no representations, warranties, promises, covenants or undertakings express or implied, with respect to the calculator and report.  National Grid expressly disclaims any and all warranties and representations (whether express or implied, oral or written), of, or with respect to, the accuracy, functionality, suitability or fitness of the calculator and report, including, without limitation, any and all implied warranties of merchantability or fitness for any purpose. National Grid does not guarantee savings. Savings and energy efficiency experiences may vary.
This calculator is designed to be informational and educational only, and when used alone, does not constitute technical advice. 
THE CALCULATOR AND REPORT IS PROVIDED "AS IS" WITHOUT ANY EXPLICIT OR IMPLIED WARRANTIES OF ANY KIND. YOUR USE OF THE CALCULATOR AND REPORT IS AT YOUR OWN RISK. 
This calculator and report are designed to give users an initial estimate of the potential cost savings and greenhouse gas emission savings of installing a heating and cooling system.  Actual savings will be determined by the design of the specific system, features of the specific building’s energy use, and other variables. Cost savings assumptions produced by the calculator  are highly sensitive to assumed energy price inputs.  This calculator assumes an average electricity rate entered in by the user, and current fuel price for non-electric commodities as reported by the U.S. Energy Information Administration (EIA). Particularly during periods of high price volatility, actual costs and savings could vary significantly based upon a number of factors, including actual energy prices. National Grid does not guarantee that the savings projected by the calculator will be achieved by a specific heating and cooling installation. Users should not rely on the calculator alone when making purchase decisions.  This calculator is provided as an initial estimation of potential cost and greenhouse gas emissions savings. The results presented by this calculator are hypothetical and may not reflect the actual savings and costs your of your own specific situation, which may vary due to a variety of inputs such as building square footage and configuration, current heat load and system size, current heating system, location, climate zone, and incentives. National Grid, the vendor using this calculator and its members and affiliates are not responsible for the consequences of any decisions or actions taken in reliance upon or because of the information provided by these tools. You should seek the advice of a professional before making any type of purchase decision.</t>
  </si>
  <si>
    <t>Business Sq. Ft.</t>
  </si>
  <si>
    <t xml:space="preserve">Heat Pump Sq. Ft. </t>
  </si>
  <si>
    <t>Switch Over temp</t>
  </si>
  <si>
    <t xml:space="preserve">Select the cooling system that the building currently uses. 
Options include:
Chillers, DX, None, PTAC, Window A/C
</t>
  </si>
  <si>
    <t xml:space="preserve">For existing non-electric heating: If the billing data is associated with DHW in addition to space heating, enter yes. </t>
  </si>
  <si>
    <t>If monthly data is chosen a monthly table will auto populate and the monthly usage can be enter. This table will auto remove any baseload or domestic hot water (DHW) usage by estimating the summer months as average baseloads.</t>
  </si>
  <si>
    <t xml:space="preserve">Select the heating fuel that the current heating system uses. 
Options include: Boilers Condensing Boilers, Condensing Furnaces, Electric Resistance, Furnaces, Steam Boilers. </t>
  </si>
  <si>
    <t>Enter the average $/kWh paid by the customer. If unknown, use a default of $.37/kWh</t>
  </si>
  <si>
    <t>Enter the average $/unit of heating fuel paid by the customer. If fuel source for heating is electricity this input will not appear.</t>
  </si>
  <si>
    <t>Select the type of heat pump proposed to be installed. 
Options include: ASHP for Air Source Heat Pump
VRF for Variable Refrigerant Flow (defined by AHRI) 
GLHP or GWHP for Ground Source Heat Pumps</t>
  </si>
  <si>
    <t>If the proposed HP will fully displace the existing heating system, enter "Full Displacement." Otherwise, enter the expected temp at which the heating system will switch over to the backup fuel. 
Options include: 5F, 15F, 30F and Full Displacement.</t>
  </si>
  <si>
    <t xml:space="preserve">The estimated heat pump incentive, based on current Mass Save incentive offerings. Based on proposed size. </t>
  </si>
  <si>
    <t>The estimated heat pump install costs are based on average pricing submitted to the Mass Save program.</t>
  </si>
  <si>
    <t>The estimated yearly monetary cost to operate the current heating/cooling system.</t>
  </si>
  <si>
    <t>The estimated yearly monetary cost to operate the proposed HP system.</t>
  </si>
  <si>
    <t>The estimated monetary savings in moving from the existing heating/cooling system to the proposed system.</t>
  </si>
  <si>
    <t>The estimated electricity usage of the proposed heat pump system.</t>
  </si>
  <si>
    <t>Enter the kWh associated with the base electrical load of the building. Base load refers to kWh associated with electricity uses not attributed to the heating system (ex: lighting, commercial/industrial refrigeration, etc.) This value will only appear if electricity is the fuel source.</t>
  </si>
  <si>
    <t>For existing electric heating: If the billing data includes all site usage, enter yes. This value will only appear if electricity is the fuel source.</t>
  </si>
  <si>
    <t>National Grid Small Business Heat Pump Estimator: Instruction Page</t>
  </si>
  <si>
    <t>Select the occupancy type that most closely resembles the building use case. 
Options include: 
Education                    Food Sales                  Food Service           
Office                          Outpatient Health         Public Assembly      Religious Worship      Retail Non-mall            Service</t>
  </si>
  <si>
    <t>Heatpumps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</si>
</sst>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409]#,##0.00_);\([$$-409]#,##0.00\)"/>
    <numFmt numFmtId="167" formatCode="#,##0.0"/>
    <numFmt numFmtId="168" formatCode="&quot;$&quot;#,##0"/>
    <numFmt numFmtId="169" formatCode="&quot;$&quot;#,##0.00"/>
  </numFmts>
  <fonts count="42" x14ac:knownFonts="1">
    <font>
      <sz val="11"/>
      <color theme="1"/>
      <name val="Calibri"/>
      <family val="2"/>
      <scheme val="minor"/>
    </font>
    <font>
      <b/>
      <sz val="11"/>
      <color theme="1"/>
      <name val="Arial"/>
      <family val="2"/>
    </font>
    <font>
      <b/>
      <sz val="11"/>
      <color theme="0"/>
      <name val="Arial"/>
      <family val="2"/>
    </font>
    <font>
      <b/>
      <sz val="11"/>
      <color rgb="FF00BEB4"/>
      <name val="Arial"/>
      <family val="2"/>
    </font>
    <font>
      <b/>
      <sz val="11"/>
      <color rgb="FFFA4616"/>
      <name val="Arial"/>
      <family val="2"/>
    </font>
    <font>
      <b/>
      <sz val="11"/>
      <color rgb="FFFFB45A"/>
      <name val="Arial"/>
      <family val="2"/>
    </font>
    <font>
      <sz val="11"/>
      <color rgb="FF55555A"/>
      <name val="Arial"/>
      <family val="2"/>
    </font>
    <font>
      <sz val="11"/>
      <color rgb="FFAAAAAC"/>
      <name val="Arial"/>
      <family val="2"/>
    </font>
    <font>
      <sz val="11"/>
      <color theme="1"/>
      <name val="Arial"/>
      <family val="2"/>
    </font>
    <font>
      <sz val="11"/>
      <color rgb="FFFA4616"/>
      <name val="Arial"/>
      <family val="2"/>
    </font>
    <font>
      <sz val="11"/>
      <color rgb="FF00148C"/>
      <name val="Arial"/>
      <family val="2"/>
    </font>
    <font>
      <sz val="11"/>
      <color rgb="FF55555A"/>
      <name val="Calibri"/>
      <family val="2"/>
      <scheme val="minor"/>
    </font>
    <font>
      <sz val="11"/>
      <color rgb="FF808083"/>
      <name val="Calibri"/>
      <family val="2"/>
      <scheme val="minor"/>
    </font>
    <font>
      <sz val="11"/>
      <color rgb="FFAAAAAC"/>
      <name val="Calibri"/>
      <family val="2"/>
      <scheme val="minor"/>
    </font>
    <font>
      <sz val="11"/>
      <color rgb="FF00148C"/>
      <name val="Calibri"/>
      <family val="2"/>
      <scheme val="minor"/>
    </font>
    <font>
      <sz val="11"/>
      <color rgb="FF00BEB4"/>
      <name val="Calibri"/>
      <family val="2"/>
      <scheme val="minor"/>
    </font>
    <font>
      <sz val="11"/>
      <color rgb="FFFA4616"/>
      <name val="Calibri"/>
      <family val="2"/>
      <scheme val="minor"/>
    </font>
    <font>
      <sz val="11"/>
      <color rgb="FF500A78"/>
      <name val="Calibri"/>
      <family val="2"/>
      <scheme val="minor"/>
    </font>
    <font>
      <sz val="11"/>
      <color rgb="FFC800A1"/>
      <name val="Calibri"/>
      <family val="2"/>
      <scheme val="minor"/>
    </font>
    <font>
      <sz val="11"/>
      <color rgb="FFFFB45A"/>
      <name val="Calibri"/>
      <family val="2"/>
      <scheme val="minor"/>
    </font>
    <font>
      <sz val="8"/>
      <name val="Calibri"/>
      <family val="2"/>
      <scheme val="minor"/>
    </font>
    <font>
      <b/>
      <sz val="9"/>
      <color theme="0"/>
      <name val="Arial"/>
      <family val="2"/>
    </font>
    <font>
      <sz val="11"/>
      <color rgb="FF000000"/>
      <name val="Calibri"/>
      <family val="2"/>
    </font>
    <font>
      <sz val="11"/>
      <color theme="1"/>
      <name val="Calibri"/>
      <family val="2"/>
      <scheme val="minor"/>
    </font>
    <font>
      <b/>
      <sz val="10"/>
      <color theme="0"/>
      <name val="Arial"/>
      <family val="2"/>
    </font>
    <font>
      <sz val="10"/>
      <color theme="1"/>
      <name val="Calibri"/>
      <family val="2"/>
      <scheme val="minor"/>
    </font>
    <font>
      <sz val="7"/>
      <color theme="1"/>
      <name val="Segoe UI"/>
      <family val="2"/>
    </font>
    <font>
      <b/>
      <sz val="10"/>
      <color rgb="FF00BEB4"/>
      <name val="Arial"/>
      <family val="2"/>
    </font>
    <font>
      <b/>
      <sz val="14"/>
      <color theme="0"/>
      <name val="Arial"/>
      <family val="2"/>
    </font>
    <font>
      <b/>
      <sz val="11"/>
      <color rgb="FFFA4616"/>
      <name val="Calibri"/>
      <family val="2"/>
      <scheme val="minor"/>
    </font>
    <font>
      <sz val="11"/>
      <color rgb="FFD0CECE"/>
      <name val="Arial"/>
      <family val="2"/>
    </font>
    <font>
      <sz val="11"/>
      <color rgb="FFD0CECE"/>
      <name val="Calibri"/>
      <family val="2"/>
      <scheme val="minor"/>
    </font>
    <font>
      <sz val="14"/>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sz val="14"/>
      <color theme="1"/>
      <name val="Calibri"/>
      <family val="2"/>
      <scheme val="minor"/>
    </font>
    <font>
      <sz val="16"/>
      <color theme="1"/>
      <name val="Calibri"/>
      <family val="2"/>
      <scheme val="minor"/>
    </font>
    <font>
      <b/>
      <sz val="16"/>
      <color theme="1"/>
      <name val="Arial"/>
      <family val="2"/>
    </font>
    <font>
      <sz val="16"/>
      <color theme="1"/>
      <name val="Arial"/>
      <family val="2"/>
    </font>
    <font>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148C"/>
        <bgColor indexed="64"/>
      </patternFill>
    </fill>
    <fill>
      <patternFill patternType="solid">
        <fgColor rgb="FFAAAAAC"/>
        <bgColor indexed="64"/>
      </patternFill>
    </fill>
    <fill>
      <patternFill patternType="solid">
        <fgColor rgb="FF55555A"/>
        <bgColor indexed="64"/>
      </patternFill>
    </fill>
    <fill>
      <patternFill patternType="solid">
        <fgColor rgb="FF808083"/>
        <bgColor indexed="64"/>
      </patternFill>
    </fill>
    <fill>
      <patternFill patternType="solid">
        <fgColor rgb="FF00BEB4"/>
        <bgColor indexed="64"/>
      </patternFill>
    </fill>
    <fill>
      <patternFill patternType="solid">
        <fgColor rgb="FFFA4616"/>
        <bgColor indexed="64"/>
      </patternFill>
    </fill>
    <fill>
      <patternFill patternType="solid">
        <fgColor rgb="FF500A78"/>
        <bgColor indexed="64"/>
      </patternFill>
    </fill>
    <fill>
      <patternFill patternType="solid">
        <fgColor rgb="FFC800A1"/>
        <bgColor indexed="64"/>
      </patternFill>
    </fill>
    <fill>
      <patternFill patternType="solid">
        <fgColor rgb="FFFFB45A"/>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192">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6" fillId="3" borderId="1" xfId="0" applyFont="1" applyFill="1" applyBorder="1" applyAlignment="1">
      <alignment horizontal="center"/>
    </xf>
    <xf numFmtId="0" fontId="7" fillId="3" borderId="1" xfId="0"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4" borderId="1" xfId="0" applyFont="1" applyFill="1" applyBorder="1" applyAlignment="1">
      <alignment horizontal="center"/>
    </xf>
    <xf numFmtId="0" fontId="0" fillId="2" borderId="0" xfId="0" applyFill="1"/>
    <xf numFmtId="0" fontId="0" fillId="0" borderId="2" xfId="0" applyBorder="1"/>
    <xf numFmtId="0" fontId="11" fillId="0" borderId="2" xfId="0" applyFont="1" applyBorder="1"/>
    <xf numFmtId="0" fontId="0" fillId="5" borderId="2" xfId="0" applyFill="1" applyBorder="1"/>
    <xf numFmtId="0" fontId="12" fillId="0" borderId="2" xfId="0" applyFont="1" applyBorder="1"/>
    <xf numFmtId="0" fontId="0" fillId="6" borderId="2" xfId="0" applyFill="1" applyBorder="1"/>
    <xf numFmtId="0" fontId="13" fillId="0" borderId="2" xfId="0" applyFont="1" applyBorder="1"/>
    <xf numFmtId="0" fontId="0" fillId="4" borderId="2" xfId="0" applyFill="1" applyBorder="1"/>
    <xf numFmtId="0" fontId="14" fillId="0" borderId="2" xfId="0" applyFont="1" applyBorder="1"/>
    <xf numFmtId="0" fontId="0" fillId="3" borderId="2" xfId="0" applyFill="1" applyBorder="1"/>
    <xf numFmtId="0" fontId="15" fillId="0" borderId="2" xfId="0" applyFont="1" applyBorder="1"/>
    <xf numFmtId="0" fontId="0" fillId="7" borderId="2" xfId="0" applyFill="1" applyBorder="1"/>
    <xf numFmtId="0" fontId="16" fillId="0" borderId="2" xfId="0" applyFont="1" applyBorder="1"/>
    <xf numFmtId="0" fontId="0" fillId="8" borderId="2" xfId="0" applyFill="1" applyBorder="1"/>
    <xf numFmtId="0" fontId="17" fillId="0" borderId="2" xfId="0" applyFont="1" applyBorder="1"/>
    <xf numFmtId="0" fontId="0" fillId="9" borderId="2" xfId="0" applyFill="1" applyBorder="1"/>
    <xf numFmtId="0" fontId="18" fillId="0" borderId="2" xfId="0" applyFont="1" applyBorder="1"/>
    <xf numFmtId="0" fontId="0" fillId="10" borderId="2" xfId="0" applyFill="1" applyBorder="1"/>
    <xf numFmtId="0" fontId="19" fillId="0" borderId="2" xfId="0" applyFont="1" applyBorder="1"/>
    <xf numFmtId="0" fontId="0" fillId="11" borderId="2" xfId="0" applyFill="1" applyBorder="1"/>
    <xf numFmtId="0" fontId="0" fillId="0" borderId="0" xfId="0" applyAlignment="1">
      <alignment horizontal="right"/>
    </xf>
    <xf numFmtId="0" fontId="21" fillId="3" borderId="1" xfId="0" applyFont="1" applyFill="1" applyBorder="1" applyAlignment="1">
      <alignment horizontal="center"/>
    </xf>
    <xf numFmtId="0" fontId="22" fillId="0" borderId="4" xfId="0" applyFont="1" applyBorder="1" applyAlignment="1">
      <alignment vertical="center"/>
    </xf>
    <xf numFmtId="0" fontId="22" fillId="0" borderId="5" xfId="0" applyFont="1" applyBorder="1" applyAlignment="1">
      <alignment vertical="center"/>
    </xf>
    <xf numFmtId="0" fontId="0" fillId="0" borderId="0" xfId="0" applyAlignment="1">
      <alignment horizontal="center"/>
    </xf>
    <xf numFmtId="2" fontId="5" fillId="3" borderId="1" xfId="0" applyNumberFormat="1" applyFont="1" applyFill="1" applyBorder="1" applyAlignment="1">
      <alignment horizontal="center"/>
    </xf>
    <xf numFmtId="44" fontId="0" fillId="0" borderId="0" xfId="2" applyFont="1"/>
    <xf numFmtId="44" fontId="5" fillId="3" borderId="1" xfId="2" applyFont="1" applyFill="1" applyBorder="1" applyAlignment="1">
      <alignment horizontal="center"/>
    </xf>
    <xf numFmtId="165" fontId="0" fillId="0" borderId="0" xfId="0" applyNumberFormat="1"/>
    <xf numFmtId="0" fontId="0" fillId="2" borderId="0" xfId="0" applyFill="1" applyAlignment="1">
      <alignment horizontal="right"/>
    </xf>
    <xf numFmtId="0" fontId="24" fillId="3" borderId="1" xfId="0" applyFont="1" applyFill="1" applyBorder="1" applyAlignment="1">
      <alignment horizontal="center"/>
    </xf>
    <xf numFmtId="0" fontId="25" fillId="2" borderId="0" xfId="0" applyFont="1" applyFill="1"/>
    <xf numFmtId="0" fontId="0" fillId="0" borderId="0" xfId="0" applyAlignment="1">
      <alignment horizontal="left" vertical="center" indent="1"/>
    </xf>
    <xf numFmtId="164" fontId="6" fillId="3" borderId="1" xfId="0" applyNumberFormat="1" applyFont="1" applyFill="1" applyBorder="1" applyAlignment="1">
      <alignment horizontal="center"/>
    </xf>
    <xf numFmtId="9" fontId="10" fillId="4" borderId="1" xfId="3" applyFont="1" applyFill="1" applyBorder="1" applyAlignment="1">
      <alignment horizontal="center"/>
    </xf>
    <xf numFmtId="9" fontId="7" fillId="3" borderId="1" xfId="3" applyFont="1" applyFill="1" applyBorder="1" applyAlignment="1">
      <alignment horizontal="center"/>
    </xf>
    <xf numFmtId="0" fontId="21" fillId="3" borderId="1" xfId="0" applyFont="1" applyFill="1" applyBorder="1" applyAlignment="1">
      <alignment horizontal="center" wrapText="1"/>
    </xf>
    <xf numFmtId="0" fontId="2" fillId="3" borderId="0" xfId="0" applyFont="1" applyFill="1"/>
    <xf numFmtId="9" fontId="6" fillId="3" borderId="1" xfId="3" applyFont="1" applyFill="1" applyBorder="1" applyAlignment="1">
      <alignment horizontal="center"/>
    </xf>
    <xf numFmtId="37" fontId="6" fillId="3" borderId="1" xfId="1" applyNumberFormat="1" applyFont="1" applyFill="1" applyBorder="1" applyAlignment="1">
      <alignment horizontal="center"/>
    </xf>
    <xf numFmtId="168" fontId="10" fillId="4" borderId="1" xfId="0" applyNumberFormat="1" applyFont="1" applyFill="1" applyBorder="1" applyAlignment="1">
      <alignment horizontal="center"/>
    </xf>
    <xf numFmtId="168" fontId="7" fillId="3" borderId="1" xfId="0" applyNumberFormat="1" applyFont="1" applyFill="1" applyBorder="1" applyAlignment="1">
      <alignment horizontal="center"/>
    </xf>
    <xf numFmtId="169" fontId="10" fillId="4" borderId="1" xfId="0" applyNumberFormat="1" applyFont="1" applyFill="1" applyBorder="1" applyAlignment="1">
      <alignment horizontal="center"/>
    </xf>
    <xf numFmtId="169" fontId="7" fillId="3" borderId="1" xfId="0" applyNumberFormat="1" applyFont="1" applyFill="1" applyBorder="1" applyAlignment="1">
      <alignment horizontal="center"/>
    </xf>
    <xf numFmtId="169" fontId="5" fillId="3" borderId="1" xfId="0" applyNumberFormat="1" applyFont="1" applyFill="1" applyBorder="1" applyAlignment="1">
      <alignment horizontal="center"/>
    </xf>
    <xf numFmtId="166" fontId="0" fillId="2" borderId="0" xfId="0" applyNumberFormat="1" applyFill="1"/>
    <xf numFmtId="0" fontId="16"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wrapText="1"/>
    </xf>
    <xf numFmtId="0" fontId="29" fillId="2" borderId="0" xfId="0" applyFont="1" applyFill="1" applyAlignment="1">
      <alignment horizontal="center" vertical="center" wrapText="1"/>
    </xf>
    <xf numFmtId="0" fontId="0" fillId="2" borderId="0" xfId="0" applyFill="1" applyAlignment="1">
      <alignment wrapText="1"/>
    </xf>
    <xf numFmtId="0" fontId="3"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 fillId="3" borderId="8" xfId="0" applyFont="1" applyFill="1" applyBorder="1" applyAlignment="1">
      <alignment horizontal="center" vertical="center"/>
    </xf>
    <xf numFmtId="0" fontId="2" fillId="3" borderId="9" xfId="0" applyFont="1" applyFill="1" applyBorder="1" applyAlignment="1">
      <alignment horizontal="center"/>
    </xf>
    <xf numFmtId="0" fontId="30" fillId="3" borderId="1" xfId="0" applyFont="1" applyFill="1" applyBorder="1" applyAlignment="1">
      <alignment horizontal="center"/>
    </xf>
    <xf numFmtId="0" fontId="31" fillId="2" borderId="0" xfId="0" applyFont="1" applyFill="1"/>
    <xf numFmtId="9" fontId="31" fillId="2" borderId="0" xfId="3" applyFont="1" applyFill="1"/>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166" fontId="4" fillId="3" borderId="1"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3" fontId="5" fillId="3" borderId="1" xfId="0" applyNumberFormat="1" applyFont="1" applyFill="1" applyBorder="1" applyAlignment="1" applyProtection="1">
      <alignment horizontal="center" vertical="center"/>
      <protection locked="0"/>
    </xf>
    <xf numFmtId="167" fontId="5"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0" fillId="0" borderId="0" xfId="0" applyAlignment="1">
      <alignment horizontal="left"/>
    </xf>
    <xf numFmtId="0" fontId="34" fillId="2" borderId="0" xfId="0" applyFont="1" applyFill="1"/>
    <xf numFmtId="0" fontId="32" fillId="2" borderId="0" xfId="0" applyFont="1" applyFill="1" applyAlignment="1">
      <alignment horizontal="right"/>
    </xf>
    <xf numFmtId="0" fontId="34" fillId="2" borderId="0" xfId="0" applyFont="1" applyFill="1" applyAlignment="1">
      <alignment horizontal="left"/>
    </xf>
    <xf numFmtId="0" fontId="34" fillId="0" borderId="0" xfId="0" applyFont="1" applyAlignment="1">
      <alignment horizontal="left" vertical="center"/>
    </xf>
    <xf numFmtId="5" fontId="34" fillId="0" borderId="0" xfId="0" applyNumberFormat="1" applyFont="1" applyAlignment="1">
      <alignment horizontal="left" vertical="center"/>
    </xf>
    <xf numFmtId="0" fontId="35" fillId="0" borderId="0" xfId="0" applyFont="1" applyAlignment="1">
      <alignment horizontal="center" vertical="center"/>
    </xf>
    <xf numFmtId="5" fontId="35" fillId="0" borderId="0" xfId="0" applyNumberFormat="1" applyFont="1" applyAlignment="1">
      <alignment horizontal="center" vertical="center"/>
    </xf>
    <xf numFmtId="9" fontId="35" fillId="0" borderId="0" xfId="3" applyFont="1" applyFill="1" applyBorder="1" applyAlignment="1">
      <alignment horizontal="center" vertical="center"/>
    </xf>
    <xf numFmtId="1" fontId="35" fillId="0" borderId="0" xfId="0" applyNumberFormat="1" applyFont="1" applyAlignment="1">
      <alignment horizontal="center" vertical="center"/>
    </xf>
    <xf numFmtId="2" fontId="35" fillId="0" borderId="0" xfId="0" applyNumberFormat="1" applyFont="1" applyAlignment="1">
      <alignment horizontal="center" vertical="center"/>
    </xf>
    <xf numFmtId="43" fontId="35" fillId="0" borderId="0" xfId="1" applyFont="1" applyFill="1" applyBorder="1" applyAlignment="1">
      <alignment horizontal="center" vertical="center"/>
    </xf>
    <xf numFmtId="0" fontId="28" fillId="3" borderId="13" xfId="0" applyFont="1" applyFill="1" applyBorder="1"/>
    <xf numFmtId="0" fontId="28" fillId="3" borderId="14" xfId="0" applyFont="1" applyFill="1" applyBorder="1" applyAlignment="1">
      <alignment vertical="center"/>
    </xf>
    <xf numFmtId="0" fontId="28" fillId="3" borderId="14" xfId="0" applyFont="1" applyFill="1" applyBorder="1"/>
    <xf numFmtId="0" fontId="28" fillId="3" borderId="15" xfId="0" applyFont="1" applyFill="1" applyBorder="1"/>
    <xf numFmtId="0" fontId="28" fillId="3" borderId="14" xfId="0" applyFont="1" applyFill="1" applyBorder="1" applyAlignment="1">
      <alignment horizontal="left" vertical="center"/>
    </xf>
    <xf numFmtId="0" fontId="28" fillId="3" borderId="13" xfId="0" applyFont="1" applyFill="1" applyBorder="1" applyAlignment="1">
      <alignment vertical="center"/>
    </xf>
    <xf numFmtId="0" fontId="32" fillId="2" borderId="16" xfId="0" applyFont="1" applyFill="1" applyBorder="1" applyAlignment="1">
      <alignment horizontal="left" vertical="center"/>
    </xf>
    <xf numFmtId="0" fontId="37" fillId="2" borderId="0" xfId="0" applyFont="1" applyFill="1"/>
    <xf numFmtId="0" fontId="37" fillId="2" borderId="0" xfId="0" applyFont="1" applyFill="1" applyAlignment="1">
      <alignment horizontal="right"/>
    </xf>
    <xf numFmtId="0" fontId="37" fillId="2" borderId="17" xfId="0" applyFont="1" applyFill="1" applyBorder="1" applyAlignment="1">
      <alignment horizontal="right"/>
    </xf>
    <xf numFmtId="0" fontId="40" fillId="2" borderId="0" xfId="0" applyFont="1" applyFill="1" applyAlignment="1">
      <alignment horizontal="right"/>
    </xf>
    <xf numFmtId="0" fontId="40" fillId="2" borderId="0" xfId="0" applyFont="1" applyFill="1" applyAlignment="1">
      <alignment horizontal="right" vertical="center"/>
    </xf>
    <xf numFmtId="0" fontId="40" fillId="2" borderId="0" xfId="0" applyFont="1" applyFill="1"/>
    <xf numFmtId="0" fontId="38" fillId="2" borderId="0" xfId="0" applyFont="1" applyFill="1"/>
    <xf numFmtId="0" fontId="40" fillId="2" borderId="0" xfId="0" applyFont="1" applyFill="1" applyAlignment="1">
      <alignment horizontal="left"/>
    </xf>
    <xf numFmtId="0" fontId="32" fillId="2" borderId="17" xfId="0" applyFont="1" applyFill="1" applyBorder="1" applyAlignment="1">
      <alignment horizontal="left" vertical="center"/>
    </xf>
    <xf numFmtId="0" fontId="0" fillId="2" borderId="17" xfId="0" applyFill="1" applyBorder="1" applyAlignment="1">
      <alignment horizontal="left"/>
    </xf>
    <xf numFmtId="0" fontId="40" fillId="2" borderId="0" xfId="0" applyFont="1" applyFill="1" applyAlignment="1">
      <alignment horizontal="left" vertical="center"/>
    </xf>
    <xf numFmtId="5" fontId="39" fillId="2" borderId="0" xfId="0" applyNumberFormat="1" applyFont="1" applyFill="1" applyAlignment="1">
      <alignment horizontal="left" vertical="center"/>
    </xf>
    <xf numFmtId="0" fontId="32" fillId="2" borderId="18" xfId="0" applyFont="1" applyFill="1" applyBorder="1" applyAlignment="1">
      <alignment horizontal="left" vertical="center"/>
    </xf>
    <xf numFmtId="0" fontId="37" fillId="2" borderId="19" xfId="0" applyFont="1" applyFill="1" applyBorder="1"/>
    <xf numFmtId="0" fontId="0" fillId="2" borderId="19" xfId="0" applyFill="1" applyBorder="1" applyAlignment="1">
      <alignment horizontal="right"/>
    </xf>
    <xf numFmtId="0" fontId="0" fillId="2" borderId="20" xfId="0" applyFill="1" applyBorder="1"/>
    <xf numFmtId="9" fontId="39" fillId="2" borderId="0" xfId="3" applyFont="1" applyFill="1" applyBorder="1" applyAlignment="1">
      <alignment horizontal="center"/>
    </xf>
    <xf numFmtId="6" fontId="39" fillId="2" borderId="0" xfId="0" applyNumberFormat="1" applyFont="1" applyFill="1" applyAlignment="1">
      <alignment horizontal="center"/>
    </xf>
    <xf numFmtId="168" fontId="39" fillId="2" borderId="0" xfId="2" applyNumberFormat="1" applyFont="1" applyFill="1" applyBorder="1" applyAlignment="1">
      <alignment horizontal="center"/>
    </xf>
    <xf numFmtId="5" fontId="40" fillId="2" borderId="0" xfId="0" applyNumberFormat="1" applyFont="1" applyFill="1" applyAlignment="1">
      <alignment horizontal="left" vertical="center"/>
    </xf>
    <xf numFmtId="0" fontId="0" fillId="2" borderId="16" xfId="0" applyFill="1" applyBorder="1"/>
    <xf numFmtId="0" fontId="0" fillId="2" borderId="17" xfId="0" applyFill="1" applyBorder="1"/>
    <xf numFmtId="0" fontId="8" fillId="2" borderId="16" xfId="0" applyFont="1" applyFill="1" applyBorder="1" applyAlignment="1">
      <alignment horizontal="left" vertical="center"/>
    </xf>
    <xf numFmtId="0" fontId="39" fillId="2" borderId="0" xfId="0" applyFont="1" applyFill="1" applyAlignment="1">
      <alignment horizontal="left"/>
    </xf>
    <xf numFmtId="0" fontId="40" fillId="2" borderId="17" xfId="0" applyFont="1" applyFill="1" applyBorder="1" applyAlignment="1">
      <alignment horizontal="left" vertical="center"/>
    </xf>
    <xf numFmtId="3" fontId="39" fillId="2" borderId="0" xfId="0" applyNumberFormat="1" applyFont="1" applyFill="1" applyAlignment="1">
      <alignment horizontal="center" vertical="center"/>
    </xf>
    <xf numFmtId="0" fontId="40" fillId="2" borderId="17" xfId="0" applyFont="1" applyFill="1" applyBorder="1" applyAlignment="1">
      <alignment horizontal="left"/>
    </xf>
    <xf numFmtId="5" fontId="39" fillId="2" borderId="0" xfId="0" applyNumberFormat="1" applyFont="1" applyFill="1" applyAlignment="1">
      <alignment horizontal="center" vertical="center"/>
    </xf>
    <xf numFmtId="0" fontId="8" fillId="2" borderId="18" xfId="0" applyFont="1" applyFill="1" applyBorder="1" applyAlignment="1">
      <alignment horizontal="left" vertical="center"/>
    </xf>
    <xf numFmtId="0" fontId="40" fillId="2" borderId="19" xfId="0" applyFont="1" applyFill="1" applyBorder="1" applyAlignment="1">
      <alignment horizontal="left" vertical="center"/>
    </xf>
    <xf numFmtId="5" fontId="39" fillId="2" borderId="19" xfId="0" applyNumberFormat="1" applyFont="1" applyFill="1" applyBorder="1" applyAlignment="1">
      <alignment horizontal="center" vertical="center"/>
    </xf>
    <xf numFmtId="5" fontId="40" fillId="2" borderId="19" xfId="0" applyNumberFormat="1" applyFont="1" applyFill="1" applyBorder="1" applyAlignment="1">
      <alignment horizontal="left" vertical="center"/>
    </xf>
    <xf numFmtId="0" fontId="40" fillId="2" borderId="19" xfId="0" applyFont="1" applyFill="1" applyBorder="1"/>
    <xf numFmtId="0" fontId="40" fillId="2" borderId="20" xfId="0" applyFont="1" applyFill="1" applyBorder="1"/>
    <xf numFmtId="168" fontId="39" fillId="2" borderId="0" xfId="0" applyNumberFormat="1" applyFont="1" applyFill="1" applyAlignment="1">
      <alignment horizontal="center" vertical="center"/>
    </xf>
    <xf numFmtId="0" fontId="32" fillId="2" borderId="16" xfId="0" applyFont="1" applyFill="1" applyBorder="1" applyAlignment="1">
      <alignment horizontal="right" vertical="center"/>
    </xf>
    <xf numFmtId="0" fontId="32" fillId="2" borderId="0" xfId="0" applyFont="1" applyFill="1" applyAlignment="1">
      <alignment horizontal="left"/>
    </xf>
    <xf numFmtId="0" fontId="32" fillId="2" borderId="0" xfId="0" applyFont="1" applyFill="1" applyAlignment="1">
      <alignment horizontal="left" vertical="center"/>
    </xf>
    <xf numFmtId="0" fontId="37" fillId="2" borderId="17" xfId="0" applyFont="1" applyFill="1" applyBorder="1"/>
    <xf numFmtId="168" fontId="33" fillId="2" borderId="16" xfId="2" applyNumberFormat="1" applyFont="1" applyFill="1" applyBorder="1" applyAlignment="1">
      <alignment horizontal="left"/>
    </xf>
    <xf numFmtId="2" fontId="39" fillId="2" borderId="0" xfId="0" applyNumberFormat="1" applyFont="1" applyFill="1" applyAlignment="1">
      <alignment horizontal="center"/>
    </xf>
    <xf numFmtId="0" fontId="34" fillId="2" borderId="0" xfId="0" applyFont="1" applyFill="1" applyAlignment="1">
      <alignment horizontal="right" vertical="center"/>
    </xf>
    <xf numFmtId="0" fontId="0" fillId="2" borderId="0" xfId="0" applyFill="1" applyAlignment="1">
      <alignment horizontal="left"/>
    </xf>
    <xf numFmtId="0" fontId="32" fillId="2" borderId="16" xfId="0" applyFont="1" applyFill="1" applyBorder="1" applyAlignment="1">
      <alignment horizontal="left"/>
    </xf>
    <xf numFmtId="0" fontId="34" fillId="2" borderId="0" xfId="0" applyFont="1" applyFill="1" applyAlignment="1">
      <alignment horizontal="left" vertical="center"/>
    </xf>
    <xf numFmtId="0" fontId="0" fillId="2" borderId="18" xfId="0" applyFill="1" applyBorder="1"/>
    <xf numFmtId="0" fontId="0" fillId="2" borderId="19" xfId="0" applyFill="1" applyBorder="1" applyAlignment="1">
      <alignment horizontal="left"/>
    </xf>
    <xf numFmtId="0" fontId="34" fillId="2" borderId="19" xfId="0" applyFont="1" applyFill="1" applyBorder="1" applyAlignment="1">
      <alignment horizontal="left" vertical="center"/>
    </xf>
    <xf numFmtId="0" fontId="37" fillId="2" borderId="20" xfId="0" applyFont="1" applyFill="1" applyBorder="1"/>
    <xf numFmtId="0" fontId="35" fillId="2" borderId="0" xfId="0" applyFont="1" applyFill="1"/>
    <xf numFmtId="0" fontId="34" fillId="2" borderId="17" xfId="0" applyFont="1" applyFill="1" applyBorder="1" applyAlignment="1">
      <alignment horizontal="left" vertical="center"/>
    </xf>
    <xf numFmtId="0" fontId="38" fillId="2" borderId="16" xfId="0" applyFont="1" applyFill="1" applyBorder="1"/>
    <xf numFmtId="0" fontId="38" fillId="2" borderId="17" xfId="0" applyFont="1" applyFill="1" applyBorder="1"/>
    <xf numFmtId="0" fontId="38" fillId="2" borderId="18" xfId="0" applyFont="1" applyFill="1" applyBorder="1"/>
    <xf numFmtId="0" fontId="39" fillId="2" borderId="19" xfId="0" applyFont="1" applyFill="1" applyBorder="1" applyAlignment="1">
      <alignment horizontal="left" vertical="center"/>
    </xf>
    <xf numFmtId="0" fontId="40" fillId="2" borderId="20" xfId="0" applyFont="1" applyFill="1" applyBorder="1" applyAlignment="1">
      <alignment horizontal="left" vertical="center"/>
    </xf>
    <xf numFmtId="0" fontId="8" fillId="2" borderId="0" xfId="0" applyFont="1" applyFill="1" applyAlignment="1">
      <alignment horizontal="left" vertical="center"/>
    </xf>
    <xf numFmtId="0" fontId="8" fillId="2" borderId="17" xfId="0" applyFont="1" applyFill="1" applyBorder="1" applyAlignment="1">
      <alignment horizontal="left" vertical="center"/>
    </xf>
    <xf numFmtId="0" fontId="33" fillId="2" borderId="17" xfId="0" applyFont="1" applyFill="1" applyBorder="1" applyAlignment="1">
      <alignment vertical="center"/>
    </xf>
    <xf numFmtId="0" fontId="8" fillId="2" borderId="17" xfId="0" applyFont="1" applyFill="1" applyBorder="1" applyAlignment="1">
      <alignment vertical="center"/>
    </xf>
    <xf numFmtId="0" fontId="33" fillId="2" borderId="19"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33" fillId="2" borderId="0" xfId="0" applyFont="1" applyFill="1" applyAlignment="1">
      <alignment horizontal="right" vertical="center"/>
    </xf>
    <xf numFmtId="0" fontId="36" fillId="2" borderId="0" xfId="0" applyFont="1" applyFill="1" applyAlignment="1">
      <alignment horizontal="left" vertical="center"/>
    </xf>
    <xf numFmtId="0" fontId="32" fillId="2" borderId="0" xfId="0" applyFont="1" applyFill="1" applyAlignment="1">
      <alignment horizontal="right" vertical="center"/>
    </xf>
    <xf numFmtId="0" fontId="28" fillId="2" borderId="0" xfId="0" applyFont="1" applyFill="1"/>
    <xf numFmtId="5" fontId="35" fillId="2" borderId="0" xfId="0" applyNumberFormat="1" applyFont="1" applyFill="1" applyAlignment="1">
      <alignment horizontal="left" vertical="center"/>
    </xf>
    <xf numFmtId="2" fontId="5" fillId="3" borderId="1" xfId="0" applyNumberFormat="1" applyFont="1" applyFill="1" applyBorder="1" applyAlignment="1" applyProtection="1">
      <alignment horizontal="center" vertical="center"/>
    </xf>
    <xf numFmtId="5" fontId="5" fillId="3" borderId="1" xfId="0" applyNumberFormat="1" applyFont="1" applyFill="1" applyBorder="1" applyAlignment="1" applyProtection="1">
      <alignment horizontal="center" vertical="center"/>
    </xf>
    <xf numFmtId="168" fontId="5" fillId="3" borderId="1" xfId="0" applyNumberFormat="1" applyFont="1" applyFill="1" applyBorder="1" applyAlignment="1" applyProtection="1">
      <alignment horizontal="center" vertical="center"/>
    </xf>
    <xf numFmtId="3" fontId="5" fillId="3" borderId="1" xfId="0" applyNumberFormat="1" applyFont="1" applyFill="1" applyBorder="1" applyAlignment="1" applyProtection="1">
      <alignment horizontal="center" vertical="center"/>
    </xf>
    <xf numFmtId="165" fontId="4" fillId="3" borderId="1" xfId="1" applyNumberFormat="1" applyFont="1" applyFill="1" applyBorder="1" applyAlignment="1" applyProtection="1">
      <alignment horizontal="center"/>
      <protection locked="0"/>
    </xf>
    <xf numFmtId="165" fontId="4" fillId="3" borderId="1" xfId="1" applyNumberFormat="1" applyFont="1" applyFill="1" applyBorder="1" applyAlignment="1" applyProtection="1">
      <alignment horizontal="center" vertical="center"/>
      <protection locked="0"/>
    </xf>
    <xf numFmtId="0" fontId="26" fillId="0" borderId="0" xfId="0" applyFont="1" applyAlignment="1">
      <alignment horizontal="left" vertical="center" wrapText="1"/>
    </xf>
    <xf numFmtId="0" fontId="28" fillId="3" borderId="7" xfId="0" applyFont="1" applyFill="1" applyBorder="1" applyAlignment="1">
      <alignment horizontal="center" vertical="center"/>
    </xf>
    <xf numFmtId="0" fontId="28" fillId="3" borderId="0" xfId="0" applyFont="1" applyFill="1" applyAlignment="1">
      <alignment horizontal="center" vertical="center"/>
    </xf>
    <xf numFmtId="0" fontId="0" fillId="0" borderId="2" xfId="0" applyBorder="1" applyAlignment="1">
      <alignment horizontal="center"/>
    </xf>
    <xf numFmtId="0" fontId="2" fillId="3" borderId="3" xfId="0" applyFont="1" applyFill="1" applyBorder="1" applyAlignment="1">
      <alignment horizontal="center"/>
    </xf>
    <xf numFmtId="0" fontId="2" fillId="3" borderId="0" xfId="0" applyFont="1" applyFill="1" applyAlignment="1">
      <alignment horizontal="center"/>
    </xf>
    <xf numFmtId="0" fontId="30" fillId="3" borderId="6"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41" fillId="2" borderId="3" xfId="0" applyFont="1" applyFill="1" applyBorder="1" applyAlignment="1">
      <alignment horizontal="center" wrapText="1"/>
    </xf>
    <xf numFmtId="0" fontId="0" fillId="2" borderId="0" xfId="0" applyFill="1" applyAlignment="1">
      <alignment horizontal="left" vertical="top" wrapText="1"/>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0" xfId="0" applyFont="1" applyAlignment="1">
      <alignment horizontal="center" vertical="center"/>
    </xf>
    <xf numFmtId="0" fontId="39" fillId="0" borderId="19" xfId="0" applyFont="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5">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609600</xdr:colOff>
      <xdr:row>1</xdr:row>
      <xdr:rowOff>40821</xdr:rowOff>
    </xdr:from>
    <xdr:to>
      <xdr:col>17</xdr:col>
      <xdr:colOff>140437</xdr:colOff>
      <xdr:row>9</xdr:row>
      <xdr:rowOff>170170</xdr:rowOff>
    </xdr:to>
    <xdr:pic>
      <xdr:nvPicPr>
        <xdr:cNvPr id="2" name="Picture 1">
          <a:extLst>
            <a:ext uri="{FF2B5EF4-FFF2-40B4-BE49-F238E27FC236}">
              <a16:creationId xmlns:a16="http://schemas.microsoft.com/office/drawing/2014/main" id="{B427319A-CA1B-40CA-AD5A-75580CD50858}"/>
            </a:ext>
          </a:extLst>
        </xdr:cNvPr>
        <xdr:cNvPicPr>
          <a:picLocks noChangeAspect="1"/>
        </xdr:cNvPicPr>
      </xdr:nvPicPr>
      <xdr:blipFill>
        <a:blip xmlns:r="http://schemas.openxmlformats.org/officeDocument/2006/relationships" r:embed="rId1"/>
        <a:stretch>
          <a:fillRect/>
        </a:stretch>
      </xdr:blipFill>
      <xdr:spPr>
        <a:xfrm>
          <a:off x="8841921" y="217714"/>
          <a:ext cx="5555627" cy="1544492"/>
        </a:xfrm>
        <a:prstGeom prst="rect">
          <a:avLst/>
        </a:prstGeom>
      </xdr:spPr>
    </xdr:pic>
    <xdr:clientData/>
  </xdr:twoCellAnchor>
  <xdr:twoCellAnchor editAs="oneCell">
    <xdr:from>
      <xdr:col>11</xdr:col>
      <xdr:colOff>85271</xdr:colOff>
      <xdr:row>11</xdr:row>
      <xdr:rowOff>62593</xdr:rowOff>
    </xdr:from>
    <xdr:to>
      <xdr:col>16</xdr:col>
      <xdr:colOff>1306093</xdr:colOff>
      <xdr:row>22</xdr:row>
      <xdr:rowOff>112591</xdr:rowOff>
    </xdr:to>
    <xdr:pic>
      <xdr:nvPicPr>
        <xdr:cNvPr id="3" name="Picture 2">
          <a:extLst>
            <a:ext uri="{FF2B5EF4-FFF2-40B4-BE49-F238E27FC236}">
              <a16:creationId xmlns:a16="http://schemas.microsoft.com/office/drawing/2014/main" id="{D92904FC-59F3-4ED4-A328-FA0CFE37F53D}"/>
            </a:ext>
          </a:extLst>
        </xdr:cNvPr>
        <xdr:cNvPicPr>
          <a:picLocks noChangeAspect="1"/>
        </xdr:cNvPicPr>
      </xdr:nvPicPr>
      <xdr:blipFill>
        <a:blip xmlns:r="http://schemas.openxmlformats.org/officeDocument/2006/relationships" r:embed="rId2"/>
        <a:stretch>
          <a:fillRect/>
        </a:stretch>
      </xdr:blipFill>
      <xdr:spPr>
        <a:xfrm>
          <a:off x="8929914" y="2008414"/>
          <a:ext cx="5102033" cy="1995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723900</xdr:colOff>
      <xdr:row>1</xdr:row>
      <xdr:rowOff>0</xdr:rowOff>
    </xdr:from>
    <xdr:to>
      <xdr:col>15</xdr:col>
      <xdr:colOff>6350</xdr:colOff>
      <xdr:row>1</xdr:row>
      <xdr:rowOff>533400</xdr:rowOff>
    </xdr:to>
    <xdr:pic>
      <xdr:nvPicPr>
        <xdr:cNvPr id="5" name="Picture 2">
          <a:extLst>
            <a:ext uri="{FF2B5EF4-FFF2-40B4-BE49-F238E27FC236}">
              <a16:creationId xmlns:a16="http://schemas.microsoft.com/office/drawing/2014/main" id="{6132EF3E-26C2-4BFF-9587-91A673010507}"/>
            </a:ext>
            <a:ext uri="{147F2762-F138-4A5C-976F-8EAC2B608ADB}">
              <a16:predDERef xmlns:a16="http://schemas.microsoft.com/office/drawing/2014/main" pred="{FAF72173-32AC-4D08-A9F2-B92286D36C90}"/>
            </a:ext>
          </a:extLst>
        </xdr:cNvPr>
        <xdr:cNvPicPr>
          <a:picLocks noChangeAspect="1"/>
        </xdr:cNvPicPr>
      </xdr:nvPicPr>
      <xdr:blipFill>
        <a:blip xmlns:r="http://schemas.openxmlformats.org/officeDocument/2006/relationships" r:embed="rId1"/>
        <a:stretch>
          <a:fillRect/>
        </a:stretch>
      </xdr:blipFill>
      <xdr:spPr>
        <a:xfrm>
          <a:off x="14306550" y="190500"/>
          <a:ext cx="127635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73A0-14A5-4DA8-92AE-874136514BF2}">
  <dimension ref="A1:KS731"/>
  <sheetViews>
    <sheetView topLeftCell="C1" zoomScale="85" zoomScaleNormal="85" workbookViewId="0">
      <selection activeCell="D2" sqref="D2:H4"/>
    </sheetView>
  </sheetViews>
  <sheetFormatPr defaultColWidth="0" defaultRowHeight="14.5" zeroHeight="1" x14ac:dyDescent="0.35"/>
  <cols>
    <col min="1" max="1" width="8.7265625" style="11" customWidth="1"/>
    <col min="2" max="2" width="25.1796875" bestFit="1" customWidth="1"/>
    <col min="3" max="3" width="8.7265625" style="11" customWidth="1"/>
    <col min="4" max="4" width="34.54296875" style="58" bestFit="1" customWidth="1"/>
    <col min="5" max="5" width="60.54296875" customWidth="1"/>
    <col min="6" max="6" width="8.7265625" style="11" customWidth="1"/>
    <col min="7" max="7" width="22.1796875" bestFit="1" customWidth="1"/>
    <col min="8" max="8" width="60.54296875" customWidth="1"/>
    <col min="9" max="9" width="8.7265625" style="11" customWidth="1"/>
    <col min="10" max="10" width="8.7265625" hidden="1" customWidth="1"/>
    <col min="11" max="11" width="25.453125" hidden="1" customWidth="1"/>
    <col min="12" max="19" width="8.7265625" hidden="1" customWidth="1"/>
    <col min="20" max="20" width="31.26953125" hidden="1" customWidth="1"/>
    <col min="21" max="21" width="49" hidden="1" customWidth="1"/>
    <col min="22" max="16384" width="8.7265625" hidden="1"/>
  </cols>
  <sheetData>
    <row r="1" spans="2:8" x14ac:dyDescent="0.35">
      <c r="E1" s="43"/>
    </row>
    <row r="2" spans="2:8" ht="14.5" customHeight="1" x14ac:dyDescent="0.35">
      <c r="B2" s="1" t="s">
        <v>0</v>
      </c>
      <c r="D2" s="175" t="s">
        <v>289</v>
      </c>
      <c r="E2" s="175"/>
      <c r="F2" s="175"/>
      <c r="G2" s="175"/>
      <c r="H2" s="175"/>
    </row>
    <row r="3" spans="2:8" ht="14.5" customHeight="1" x14ac:dyDescent="0.35">
      <c r="B3" s="2" t="s">
        <v>1</v>
      </c>
      <c r="D3" s="176"/>
      <c r="E3" s="176"/>
      <c r="F3" s="176"/>
      <c r="G3" s="176"/>
      <c r="H3" s="176"/>
    </row>
    <row r="4" spans="2:8" x14ac:dyDescent="0.35">
      <c r="B4" s="3" t="s">
        <v>2</v>
      </c>
      <c r="D4" s="176"/>
      <c r="E4" s="176"/>
      <c r="F4" s="176"/>
      <c r="G4" s="176"/>
      <c r="H4" s="176"/>
    </row>
    <row r="5" spans="2:8" x14ac:dyDescent="0.35">
      <c r="B5" s="4" t="s">
        <v>3</v>
      </c>
      <c r="D5" s="59"/>
      <c r="E5" s="59"/>
      <c r="F5" s="59"/>
      <c r="G5" s="59"/>
      <c r="H5" s="11"/>
    </row>
    <row r="6" spans="2:8" s="11" customFormat="1" x14ac:dyDescent="0.35">
      <c r="B6" s="5" t="s">
        <v>4</v>
      </c>
      <c r="D6" s="59"/>
      <c r="E6" s="60"/>
      <c r="F6" s="59"/>
      <c r="G6" s="59"/>
      <c r="H6" s="61"/>
    </row>
    <row r="7" spans="2:8" s="11" customFormat="1" x14ac:dyDescent="0.35">
      <c r="B7" s="69" t="s">
        <v>5</v>
      </c>
      <c r="D7" s="59"/>
      <c r="E7" s="60"/>
      <c r="F7" s="59"/>
      <c r="G7" s="59"/>
      <c r="H7" s="61"/>
    </row>
    <row r="8" spans="2:8" x14ac:dyDescent="0.35">
      <c r="B8" s="8" t="s">
        <v>6</v>
      </c>
      <c r="D8" s="63"/>
      <c r="E8" s="68" t="s">
        <v>7</v>
      </c>
      <c r="G8" s="63"/>
      <c r="H8" s="68" t="s">
        <v>8</v>
      </c>
    </row>
    <row r="9" spans="2:8" ht="84" x14ac:dyDescent="0.35">
      <c r="B9" s="11"/>
      <c r="D9" s="63" t="s">
        <v>65</v>
      </c>
      <c r="E9" s="66" t="s">
        <v>290</v>
      </c>
      <c r="G9" s="63" t="s">
        <v>10</v>
      </c>
      <c r="H9" s="66" t="s">
        <v>265</v>
      </c>
    </row>
    <row r="10" spans="2:8" ht="28" x14ac:dyDescent="0.35">
      <c r="B10" s="11"/>
      <c r="D10" s="64" t="s">
        <v>270</v>
      </c>
      <c r="E10" s="65" t="s">
        <v>11</v>
      </c>
      <c r="G10" s="63" t="s">
        <v>12</v>
      </c>
      <c r="H10" s="65" t="s">
        <v>274</v>
      </c>
    </row>
    <row r="11" spans="2:8" ht="44.25" customHeight="1" x14ac:dyDescent="0.35">
      <c r="B11" s="11"/>
      <c r="D11" s="64" t="s">
        <v>271</v>
      </c>
      <c r="E11" s="65" t="s">
        <v>13</v>
      </c>
      <c r="G11" s="63" t="s">
        <v>14</v>
      </c>
      <c r="H11" s="65" t="s">
        <v>288</v>
      </c>
    </row>
    <row r="12" spans="2:8" ht="70" x14ac:dyDescent="0.35">
      <c r="B12" s="11"/>
      <c r="D12" s="63" t="s">
        <v>15</v>
      </c>
      <c r="E12" s="65" t="s">
        <v>16</v>
      </c>
      <c r="G12" s="64" t="s">
        <v>17</v>
      </c>
      <c r="H12" s="65" t="s">
        <v>287</v>
      </c>
    </row>
    <row r="13" spans="2:8" ht="42" x14ac:dyDescent="0.35">
      <c r="B13" s="11"/>
      <c r="D13" s="63" t="s">
        <v>261</v>
      </c>
      <c r="E13" s="65" t="s">
        <v>276</v>
      </c>
      <c r="G13" s="64" t="s">
        <v>19</v>
      </c>
      <c r="H13" s="65" t="s">
        <v>20</v>
      </c>
    </row>
    <row r="14" spans="2:8" ht="56" x14ac:dyDescent="0.35">
      <c r="B14" s="11"/>
      <c r="D14" s="63" t="s">
        <v>262</v>
      </c>
      <c r="E14" s="65" t="s">
        <v>273</v>
      </c>
      <c r="G14" s="64" t="s">
        <v>22</v>
      </c>
      <c r="H14" s="65" t="s">
        <v>275</v>
      </c>
    </row>
    <row r="15" spans="2:8" s="11" customFormat="1" x14ac:dyDescent="0.35">
      <c r="D15" s="59"/>
      <c r="F15" s="62"/>
    </row>
    <row r="16" spans="2:8" x14ac:dyDescent="0.35">
      <c r="B16" s="11"/>
      <c r="D16" s="63"/>
      <c r="E16" s="68" t="s">
        <v>23</v>
      </c>
      <c r="G16" s="11"/>
      <c r="H16" s="11"/>
    </row>
    <row r="17" spans="2:8" ht="28" x14ac:dyDescent="0.35">
      <c r="B17" s="11"/>
      <c r="D17" s="64" t="s">
        <v>77</v>
      </c>
      <c r="E17" s="66" t="s">
        <v>277</v>
      </c>
      <c r="F17" s="59"/>
      <c r="G17" s="11"/>
      <c r="H17" s="11"/>
    </row>
    <row r="18" spans="2:8" ht="28" x14ac:dyDescent="0.35">
      <c r="B18" s="11"/>
      <c r="D18" s="64" t="s">
        <v>24</v>
      </c>
      <c r="E18" s="65" t="s">
        <v>278</v>
      </c>
      <c r="F18" s="59"/>
      <c r="G18" s="11"/>
      <c r="H18" s="11"/>
    </row>
    <row r="19" spans="2:8" s="11" customFormat="1" x14ac:dyDescent="0.35">
      <c r="D19" s="59"/>
      <c r="F19" s="59"/>
    </row>
    <row r="20" spans="2:8" x14ac:dyDescent="0.35">
      <c r="B20" s="11"/>
      <c r="D20" s="63"/>
      <c r="E20" s="68" t="s">
        <v>25</v>
      </c>
      <c r="F20" s="59"/>
      <c r="G20" s="11"/>
      <c r="H20" s="11"/>
    </row>
    <row r="21" spans="2:8" ht="56" x14ac:dyDescent="0.35">
      <c r="B21" s="11"/>
      <c r="D21" s="63" t="s">
        <v>26</v>
      </c>
      <c r="E21" s="66" t="s">
        <v>279</v>
      </c>
      <c r="F21" s="59"/>
      <c r="G21" s="11"/>
      <c r="H21" s="11"/>
    </row>
    <row r="22" spans="2:8" ht="63.5" customHeight="1" x14ac:dyDescent="0.35">
      <c r="B22" s="11"/>
      <c r="D22" s="63" t="s">
        <v>272</v>
      </c>
      <c r="E22" s="65" t="s">
        <v>280</v>
      </c>
      <c r="F22" s="59"/>
      <c r="G22" s="11"/>
      <c r="H22" s="11"/>
    </row>
    <row r="23" spans="2:8" ht="42" x14ac:dyDescent="0.35">
      <c r="B23" s="11"/>
      <c r="D23" s="67" t="s">
        <v>28</v>
      </c>
      <c r="E23" s="65" t="s">
        <v>266</v>
      </c>
      <c r="F23" s="59"/>
      <c r="G23" s="11"/>
      <c r="H23" s="11"/>
    </row>
    <row r="24" spans="2:8" ht="28" x14ac:dyDescent="0.35">
      <c r="B24" s="11"/>
      <c r="D24" s="64" t="s">
        <v>29</v>
      </c>
      <c r="E24" s="65" t="s">
        <v>267</v>
      </c>
      <c r="G24" s="11"/>
      <c r="H24" s="11"/>
    </row>
    <row r="25" spans="2:8" x14ac:dyDescent="0.35">
      <c r="B25" s="11"/>
      <c r="D25" s="11"/>
      <c r="E25" s="11"/>
      <c r="G25" s="11"/>
      <c r="H25" s="11"/>
    </row>
    <row r="26" spans="2:8" x14ac:dyDescent="0.35">
      <c r="B26" s="11"/>
      <c r="D26" s="63"/>
      <c r="E26" s="68" t="s">
        <v>30</v>
      </c>
      <c r="G26" s="11"/>
      <c r="H26" s="11"/>
    </row>
    <row r="27" spans="2:8" ht="28" x14ac:dyDescent="0.35">
      <c r="B27" s="11"/>
      <c r="D27" s="67" t="s">
        <v>268</v>
      </c>
      <c r="E27" s="66" t="s">
        <v>281</v>
      </c>
      <c r="G27" s="11"/>
      <c r="H27" s="11"/>
    </row>
    <row r="28" spans="2:8" ht="28" x14ac:dyDescent="0.35">
      <c r="B28" s="11"/>
      <c r="D28" s="67" t="s">
        <v>31</v>
      </c>
      <c r="E28" s="65" t="s">
        <v>282</v>
      </c>
      <c r="G28" s="11"/>
      <c r="H28" s="11"/>
    </row>
    <row r="29" spans="2:8" x14ac:dyDescent="0.35">
      <c r="B29" s="11"/>
      <c r="D29" s="11"/>
      <c r="E29" s="11"/>
      <c r="G29" s="11"/>
      <c r="H29" s="11"/>
    </row>
    <row r="30" spans="2:8" x14ac:dyDescent="0.35">
      <c r="B30" s="11"/>
      <c r="D30" s="63"/>
      <c r="E30" s="68" t="s">
        <v>32</v>
      </c>
      <c r="G30" s="11"/>
      <c r="H30" s="11"/>
    </row>
    <row r="31" spans="2:8" ht="28" x14ac:dyDescent="0.35">
      <c r="B31" s="11"/>
      <c r="D31" s="67" t="s">
        <v>33</v>
      </c>
      <c r="E31" s="66" t="s">
        <v>283</v>
      </c>
      <c r="G31" s="11"/>
      <c r="H31" s="11"/>
    </row>
    <row r="32" spans="2:8" ht="28" x14ac:dyDescent="0.35">
      <c r="B32" s="11"/>
      <c r="D32" s="67" t="s">
        <v>34</v>
      </c>
      <c r="E32" s="65" t="s">
        <v>284</v>
      </c>
      <c r="G32" s="11"/>
      <c r="H32" s="11"/>
    </row>
    <row r="33" spans="2:8" ht="28" x14ac:dyDescent="0.35">
      <c r="B33" s="11"/>
      <c r="D33" s="67" t="s">
        <v>35</v>
      </c>
      <c r="E33" s="65" t="s">
        <v>285</v>
      </c>
      <c r="G33" s="11"/>
      <c r="H33" s="11"/>
    </row>
    <row r="34" spans="2:8" x14ac:dyDescent="0.35">
      <c r="B34" s="11"/>
      <c r="D34" s="11"/>
      <c r="E34" s="11"/>
      <c r="G34" s="11"/>
      <c r="H34" s="11"/>
    </row>
    <row r="35" spans="2:8" x14ac:dyDescent="0.35">
      <c r="B35" s="11"/>
      <c r="D35" s="63"/>
      <c r="E35" s="68" t="s">
        <v>36</v>
      </c>
      <c r="G35" s="11"/>
      <c r="H35" s="11"/>
    </row>
    <row r="36" spans="2:8" ht="42" x14ac:dyDescent="0.35">
      <c r="B36" s="11"/>
      <c r="D36" s="67" t="s">
        <v>37</v>
      </c>
      <c r="E36" s="66" t="s">
        <v>38</v>
      </c>
      <c r="G36" s="11"/>
      <c r="H36" s="11"/>
    </row>
    <row r="37" spans="2:8" ht="28.5" customHeight="1" x14ac:dyDescent="0.35">
      <c r="B37" s="11"/>
      <c r="D37" s="67" t="s">
        <v>39</v>
      </c>
      <c r="E37" s="65" t="s">
        <v>286</v>
      </c>
      <c r="G37" s="11"/>
      <c r="H37" s="11"/>
    </row>
    <row r="38" spans="2:8" ht="28" x14ac:dyDescent="0.35">
      <c r="B38" s="11"/>
      <c r="D38" s="67" t="s">
        <v>40</v>
      </c>
      <c r="E38" s="65" t="s">
        <v>41</v>
      </c>
      <c r="G38" s="11"/>
      <c r="H38" s="11"/>
    </row>
    <row r="39" spans="2:8" ht="42" x14ac:dyDescent="0.35">
      <c r="B39" s="11"/>
      <c r="D39" s="67" t="s">
        <v>42</v>
      </c>
      <c r="E39" s="65" t="s">
        <v>43</v>
      </c>
      <c r="G39" s="11"/>
      <c r="H39" s="11"/>
    </row>
    <row r="40" spans="2:8" x14ac:dyDescent="0.35">
      <c r="B40" s="11"/>
      <c r="D40" s="11"/>
      <c r="E40" s="11"/>
      <c r="G40" s="11"/>
      <c r="H40" s="11"/>
    </row>
    <row r="41" spans="2:8" x14ac:dyDescent="0.35">
      <c r="B41" s="11"/>
      <c r="D41" s="11"/>
      <c r="E41" s="11"/>
      <c r="G41" s="11"/>
      <c r="H41" s="11"/>
    </row>
    <row r="42" spans="2:8" ht="243.5" customHeight="1" x14ac:dyDescent="0.35">
      <c r="B42" s="57" t="s">
        <v>44</v>
      </c>
      <c r="C42" s="174" t="s">
        <v>269</v>
      </c>
      <c r="D42" s="174"/>
      <c r="E42" s="174"/>
      <c r="F42" s="174"/>
      <c r="G42" s="11"/>
      <c r="H42" s="11"/>
    </row>
    <row r="43" spans="2:8" x14ac:dyDescent="0.35">
      <c r="B43" s="11"/>
      <c r="D43" s="11"/>
      <c r="E43" s="11"/>
      <c r="G43" s="11"/>
      <c r="H43" s="11"/>
    </row>
    <row r="44" spans="2:8" hidden="1" x14ac:dyDescent="0.35">
      <c r="B44" s="11"/>
      <c r="D44" s="11"/>
      <c r="E44" s="11"/>
      <c r="G44" s="11"/>
      <c r="H44" s="11"/>
    </row>
    <row r="45" spans="2:8" hidden="1" x14ac:dyDescent="0.35">
      <c r="B45" s="11"/>
      <c r="D45" s="11"/>
      <c r="E45" s="11"/>
      <c r="G45" s="11"/>
      <c r="H45" s="11"/>
    </row>
    <row r="46" spans="2:8" hidden="1" x14ac:dyDescent="0.35">
      <c r="B46" s="11"/>
      <c r="D46" s="11"/>
      <c r="E46" s="11"/>
      <c r="G46" s="11"/>
      <c r="H46" s="11"/>
    </row>
    <row r="47" spans="2:8" hidden="1" x14ac:dyDescent="0.35">
      <c r="B47" s="11"/>
      <c r="D47" s="11"/>
      <c r="E47" s="11"/>
      <c r="G47" s="11"/>
      <c r="H47" s="11"/>
    </row>
    <row r="48" spans="2:8" hidden="1" x14ac:dyDescent="0.35">
      <c r="B48" s="11"/>
      <c r="D48" s="11"/>
      <c r="E48" s="11"/>
      <c r="G48" s="11"/>
      <c r="H48" s="11"/>
    </row>
    <row r="49" spans="2:8" hidden="1" x14ac:dyDescent="0.35">
      <c r="B49" s="11"/>
      <c r="D49" s="11"/>
      <c r="E49" s="11"/>
      <c r="G49" s="11"/>
      <c r="H49" s="11"/>
    </row>
    <row r="50" spans="2:8" hidden="1" x14ac:dyDescent="0.35">
      <c r="B50" s="11"/>
      <c r="D50" s="11"/>
      <c r="E50" s="11"/>
    </row>
    <row r="51" spans="2:8" hidden="1" x14ac:dyDescent="0.35">
      <c r="B51" s="11"/>
      <c r="D51" s="11"/>
      <c r="E51" s="11"/>
    </row>
    <row r="52" spans="2:8" hidden="1" x14ac:dyDescent="0.35">
      <c r="B52" s="11"/>
      <c r="D52" s="11"/>
      <c r="E52" s="11"/>
    </row>
    <row r="53" spans="2:8" hidden="1" x14ac:dyDescent="0.35">
      <c r="B53" s="11"/>
      <c r="D53" s="11"/>
      <c r="E53" s="11"/>
    </row>
    <row r="54" spans="2:8" hidden="1" x14ac:dyDescent="0.35">
      <c r="B54" s="11"/>
      <c r="D54" s="11"/>
      <c r="E54" s="11"/>
    </row>
    <row r="55" spans="2:8" hidden="1" x14ac:dyDescent="0.35">
      <c r="B55" s="11"/>
      <c r="D55" s="11"/>
      <c r="E55" s="11"/>
    </row>
    <row r="56" spans="2:8" hidden="1" x14ac:dyDescent="0.35">
      <c r="B56" s="11"/>
      <c r="D56" s="11"/>
      <c r="E56" s="11"/>
    </row>
    <row r="57" spans="2:8" hidden="1" x14ac:dyDescent="0.35">
      <c r="B57" s="11"/>
      <c r="D57" s="11"/>
      <c r="E57" s="11"/>
    </row>
    <row r="58" spans="2:8" hidden="1" x14ac:dyDescent="0.35">
      <c r="B58" s="11"/>
    </row>
    <row r="731" spans="305:305" hidden="1" x14ac:dyDescent="0.35">
      <c r="KS731" t="s">
        <v>291</v>
      </c>
    </row>
  </sheetData>
  <sheetProtection algorithmName="SHA-512" hashValue="pdaB5I2p+otV/NbizTy2Hfo9acIcbOwdVGBlUh8SVgKIHzeLPrB2shdPy8VNKy26gB0mtFeHl4yO4OG2B3SDFw==" saltValue="cV4dz6MClWtY+/s63QYvhQ==" spinCount="100000" sheet="1" objects="1" scenarios="1"/>
  <mergeCells count="2">
    <mergeCell ref="C42:F42"/>
    <mergeCell ref="D2: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4B0D-0695-4FDB-990B-F09A8F680536}">
  <dimension ref="A1:Q31"/>
  <sheetViews>
    <sheetView workbookViewId="0">
      <selection activeCell="B2" sqref="B2:B13"/>
    </sheetView>
  </sheetViews>
  <sheetFormatPr defaultRowHeight="14.5" x14ac:dyDescent="0.35"/>
  <cols>
    <col min="1" max="1" width="8.7265625" style="11"/>
    <col min="2" max="2" width="24.453125" bestFit="1" customWidth="1"/>
    <col min="3" max="3" width="23" style="11" customWidth="1"/>
    <col min="4" max="5" width="10.81640625" bestFit="1" customWidth="1"/>
    <col min="6" max="6" width="10.7265625" bestFit="1" customWidth="1"/>
    <col min="10" max="17" width="8.7265625" style="11"/>
  </cols>
  <sheetData>
    <row r="1" spans="2:9" x14ac:dyDescent="0.35">
      <c r="D1" s="11"/>
      <c r="E1" s="11"/>
      <c r="F1" s="11"/>
      <c r="G1" s="11"/>
      <c r="H1" s="11"/>
      <c r="I1" s="11"/>
    </row>
    <row r="2" spans="2:9" x14ac:dyDescent="0.35">
      <c r="B2" s="1" t="s">
        <v>0</v>
      </c>
      <c r="D2" s="11"/>
      <c r="E2" s="11"/>
      <c r="F2" s="11"/>
      <c r="G2" s="177" t="s">
        <v>45</v>
      </c>
      <c r="H2" s="177"/>
      <c r="I2" s="177"/>
    </row>
    <row r="3" spans="2:9" x14ac:dyDescent="0.35">
      <c r="B3" s="2" t="s">
        <v>1</v>
      </c>
      <c r="D3" s="12"/>
      <c r="E3" s="12" t="s">
        <v>46</v>
      </c>
      <c r="F3" s="12" t="s">
        <v>47</v>
      </c>
      <c r="G3" s="12" t="s">
        <v>48</v>
      </c>
      <c r="H3" s="12" t="s">
        <v>49</v>
      </c>
      <c r="I3" s="12" t="s">
        <v>50</v>
      </c>
    </row>
    <row r="4" spans="2:9" x14ac:dyDescent="0.35">
      <c r="B4" s="3" t="s">
        <v>2</v>
      </c>
      <c r="D4" s="12" t="s">
        <v>51</v>
      </c>
      <c r="E4" s="13" t="s">
        <v>51</v>
      </c>
      <c r="F4" s="14" t="s">
        <v>51</v>
      </c>
      <c r="G4" s="12">
        <v>85</v>
      </c>
      <c r="H4" s="12">
        <v>85</v>
      </c>
      <c r="I4" s="12">
        <v>90</v>
      </c>
    </row>
    <row r="5" spans="2:9" x14ac:dyDescent="0.35">
      <c r="B5" s="4" t="s">
        <v>3</v>
      </c>
      <c r="D5" s="12" t="s">
        <v>52</v>
      </c>
      <c r="E5" s="15" t="s">
        <v>52</v>
      </c>
      <c r="F5" s="16" t="s">
        <v>52</v>
      </c>
      <c r="G5" s="12">
        <v>128</v>
      </c>
      <c r="H5" s="12">
        <v>128</v>
      </c>
      <c r="I5" s="12">
        <v>131</v>
      </c>
    </row>
    <row r="6" spans="2:9" x14ac:dyDescent="0.35">
      <c r="B6" s="5" t="s">
        <v>4</v>
      </c>
      <c r="D6" s="12" t="s">
        <v>53</v>
      </c>
      <c r="E6" s="17" t="s">
        <v>53</v>
      </c>
      <c r="F6" s="18" t="s">
        <v>53</v>
      </c>
      <c r="G6" s="12">
        <v>170</v>
      </c>
      <c r="H6" s="12">
        <v>170</v>
      </c>
      <c r="I6" s="12">
        <v>172</v>
      </c>
    </row>
    <row r="7" spans="2:9" x14ac:dyDescent="0.35">
      <c r="B7" s="6" t="s">
        <v>5</v>
      </c>
      <c r="D7" s="12" t="s">
        <v>54</v>
      </c>
      <c r="E7" s="19" t="s">
        <v>54</v>
      </c>
      <c r="F7" s="20" t="s">
        <v>54</v>
      </c>
      <c r="G7" s="12">
        <v>0</v>
      </c>
      <c r="H7" s="12">
        <v>20</v>
      </c>
      <c r="I7" s="12">
        <v>140</v>
      </c>
    </row>
    <row r="8" spans="2:9" x14ac:dyDescent="0.35">
      <c r="B8" s="7" t="s">
        <v>55</v>
      </c>
      <c r="D8" s="12" t="s">
        <v>56</v>
      </c>
      <c r="E8" s="21" t="s">
        <v>56</v>
      </c>
      <c r="F8" s="22" t="s">
        <v>56</v>
      </c>
      <c r="G8" s="12">
        <v>0</v>
      </c>
      <c r="H8" s="12">
        <v>190</v>
      </c>
      <c r="I8" s="12">
        <v>180</v>
      </c>
    </row>
    <row r="9" spans="2:9" x14ac:dyDescent="0.35">
      <c r="B9" s="8" t="s">
        <v>6</v>
      </c>
      <c r="D9" s="12" t="s">
        <v>57</v>
      </c>
      <c r="E9" s="23" t="s">
        <v>57</v>
      </c>
      <c r="F9" s="24" t="s">
        <v>57</v>
      </c>
      <c r="G9" s="12">
        <v>250</v>
      </c>
      <c r="H9" s="12">
        <v>70</v>
      </c>
      <c r="I9" s="12">
        <v>22</v>
      </c>
    </row>
    <row r="10" spans="2:9" x14ac:dyDescent="0.35">
      <c r="B10" s="9" t="s">
        <v>58</v>
      </c>
      <c r="D10" s="12" t="s">
        <v>59</v>
      </c>
      <c r="E10" s="25" t="s">
        <v>59</v>
      </c>
      <c r="F10" s="26" t="s">
        <v>59</v>
      </c>
      <c r="G10" s="12">
        <v>80</v>
      </c>
      <c r="H10" s="12">
        <v>10</v>
      </c>
      <c r="I10" s="12">
        <v>120</v>
      </c>
    </row>
    <row r="11" spans="2:9" x14ac:dyDescent="0.35">
      <c r="B11" s="8" t="s">
        <v>60</v>
      </c>
      <c r="D11" s="12" t="s">
        <v>61</v>
      </c>
      <c r="E11" s="27" t="s">
        <v>61</v>
      </c>
      <c r="F11" s="28" t="s">
        <v>61</v>
      </c>
      <c r="G11" s="12">
        <v>200</v>
      </c>
      <c r="H11" s="12">
        <v>0</v>
      </c>
      <c r="I11" s="12">
        <v>161</v>
      </c>
    </row>
    <row r="12" spans="2:9" x14ac:dyDescent="0.35">
      <c r="B12" s="10" t="s">
        <v>62</v>
      </c>
      <c r="D12" s="12" t="s">
        <v>63</v>
      </c>
      <c r="E12" s="29" t="s">
        <v>63</v>
      </c>
      <c r="F12" s="30" t="s">
        <v>63</v>
      </c>
      <c r="G12" s="12">
        <v>255</v>
      </c>
      <c r="H12" s="12">
        <v>180</v>
      </c>
      <c r="I12" s="12">
        <v>90</v>
      </c>
    </row>
    <row r="13" spans="2:9" x14ac:dyDescent="0.35">
      <c r="B13" s="7" t="s">
        <v>62</v>
      </c>
      <c r="D13" s="11"/>
      <c r="E13" s="11"/>
      <c r="F13" s="11"/>
      <c r="G13" s="11"/>
      <c r="H13" s="11"/>
      <c r="I13" s="11"/>
    </row>
    <row r="14" spans="2:9" x14ac:dyDescent="0.35">
      <c r="B14" s="11"/>
      <c r="D14" s="11"/>
      <c r="E14" s="11"/>
      <c r="F14" s="11"/>
      <c r="G14" s="11"/>
      <c r="H14" s="11"/>
      <c r="I14" s="11"/>
    </row>
    <row r="15" spans="2:9" x14ac:dyDescent="0.35">
      <c r="B15" s="11"/>
      <c r="D15" s="11"/>
      <c r="E15" s="11"/>
      <c r="F15" s="11"/>
      <c r="G15" s="11"/>
      <c r="H15" s="11"/>
      <c r="I15" s="11"/>
    </row>
    <row r="16" spans="2:9" x14ac:dyDescent="0.35">
      <c r="B16" s="11"/>
      <c r="D16" s="11"/>
      <c r="E16" s="11"/>
      <c r="F16" s="11"/>
      <c r="G16" s="11"/>
      <c r="H16" s="11"/>
      <c r="I16" s="11"/>
    </row>
    <row r="17" spans="2:9" x14ac:dyDescent="0.35">
      <c r="B17" s="11"/>
      <c r="D17" s="11"/>
      <c r="E17" s="11"/>
      <c r="F17" s="11"/>
      <c r="G17" s="11"/>
      <c r="H17" s="11"/>
      <c r="I17" s="11"/>
    </row>
    <row r="18" spans="2:9" x14ac:dyDescent="0.35">
      <c r="B18" s="11"/>
      <c r="D18" s="11"/>
      <c r="E18" s="11"/>
      <c r="F18" s="11"/>
      <c r="G18" s="11"/>
      <c r="H18" s="11"/>
      <c r="I18" s="11"/>
    </row>
    <row r="19" spans="2:9" x14ac:dyDescent="0.35">
      <c r="B19" s="11"/>
      <c r="D19" s="11"/>
      <c r="E19" s="11"/>
      <c r="F19" s="11"/>
      <c r="G19" s="11"/>
      <c r="H19" s="11"/>
      <c r="I19" s="11"/>
    </row>
    <row r="20" spans="2:9" x14ac:dyDescent="0.35">
      <c r="B20" s="11"/>
      <c r="D20" s="11"/>
      <c r="E20" s="11"/>
      <c r="F20" s="11"/>
      <c r="G20" s="11"/>
      <c r="H20" s="11"/>
      <c r="I20" s="11"/>
    </row>
    <row r="21" spans="2:9" x14ac:dyDescent="0.35">
      <c r="B21" s="11"/>
      <c r="D21" s="11"/>
      <c r="E21" s="11"/>
      <c r="F21" s="11"/>
      <c r="G21" s="11"/>
      <c r="H21" s="11"/>
      <c r="I21" s="11"/>
    </row>
    <row r="22" spans="2:9" x14ac:dyDescent="0.35">
      <c r="B22" s="11"/>
      <c r="D22" s="11"/>
      <c r="E22" s="11"/>
      <c r="F22" s="11"/>
      <c r="G22" s="11"/>
      <c r="H22" s="11"/>
      <c r="I22" s="11"/>
    </row>
    <row r="23" spans="2:9" x14ac:dyDescent="0.35">
      <c r="B23" s="11"/>
      <c r="D23" s="11"/>
      <c r="E23" s="11"/>
      <c r="F23" s="11"/>
      <c r="G23" s="11"/>
      <c r="H23" s="11"/>
      <c r="I23" s="11"/>
    </row>
    <row r="24" spans="2:9" x14ac:dyDescent="0.35">
      <c r="B24" s="11"/>
      <c r="D24" s="11"/>
      <c r="E24" s="11"/>
      <c r="F24" s="11"/>
      <c r="G24" s="11"/>
      <c r="H24" s="11"/>
      <c r="I24" s="11"/>
    </row>
    <row r="25" spans="2:9" x14ac:dyDescent="0.35">
      <c r="B25" s="11"/>
      <c r="D25" s="11"/>
      <c r="E25" s="11"/>
      <c r="F25" s="11"/>
      <c r="G25" s="11"/>
      <c r="H25" s="11"/>
      <c r="I25" s="11"/>
    </row>
    <row r="26" spans="2:9" x14ac:dyDescent="0.35">
      <c r="B26" s="11"/>
      <c r="D26" s="11"/>
      <c r="E26" s="11"/>
      <c r="F26" s="11"/>
      <c r="G26" s="11"/>
      <c r="H26" s="11"/>
      <c r="I26" s="11"/>
    </row>
    <row r="27" spans="2:9" x14ac:dyDescent="0.35">
      <c r="B27" s="11"/>
      <c r="D27" s="11"/>
      <c r="E27" s="11"/>
      <c r="F27" s="11"/>
      <c r="G27" s="11"/>
      <c r="H27" s="11"/>
      <c r="I27" s="11"/>
    </row>
    <row r="28" spans="2:9" x14ac:dyDescent="0.35">
      <c r="B28" s="11"/>
    </row>
    <row r="29" spans="2:9" x14ac:dyDescent="0.35">
      <c r="B29" s="11"/>
    </row>
    <row r="30" spans="2:9" x14ac:dyDescent="0.35">
      <c r="B30" s="11"/>
    </row>
    <row r="31" spans="2:9" x14ac:dyDescent="0.35">
      <c r="B31" s="11"/>
    </row>
  </sheetData>
  <mergeCells count="1">
    <mergeCell ref="G2:I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355D-ADFA-496E-A559-B59B128BA93C}">
  <dimension ref="A1:I35"/>
  <sheetViews>
    <sheetView zoomScale="115" zoomScaleNormal="115" workbookViewId="0">
      <selection activeCell="C5" sqref="C5:C6"/>
    </sheetView>
  </sheetViews>
  <sheetFormatPr defaultColWidth="0" defaultRowHeight="14.5" zeroHeight="1" x14ac:dyDescent="0.35"/>
  <cols>
    <col min="1" max="1" width="8.7265625" style="11" customWidth="1"/>
    <col min="2" max="2" width="25.1796875" bestFit="1" customWidth="1"/>
    <col min="3" max="3" width="20.54296875" style="58" bestFit="1" customWidth="1"/>
    <col min="4" max="4" width="20.453125" customWidth="1"/>
    <col min="5" max="5" width="13.54296875" customWidth="1"/>
    <col min="6" max="6" width="17" customWidth="1"/>
    <col min="7" max="7" width="11" bestFit="1" customWidth="1"/>
    <col min="8" max="8" width="7.6328125" bestFit="1" customWidth="1"/>
    <col min="9" max="9" width="8.7265625" style="11" customWidth="1"/>
    <col min="10" max="16384" width="8.7265625" hidden="1"/>
  </cols>
  <sheetData>
    <row r="1" spans="2:8" ht="7" customHeight="1" x14ac:dyDescent="0.35">
      <c r="B1" s="11"/>
      <c r="C1" s="59"/>
      <c r="D1" s="11"/>
      <c r="E1" s="11"/>
      <c r="F1" s="11"/>
      <c r="G1" s="11"/>
      <c r="H1" s="11"/>
    </row>
    <row r="2" spans="2:8" x14ac:dyDescent="0.35">
      <c r="B2" s="178" t="s">
        <v>64</v>
      </c>
      <c r="C2" s="179"/>
      <c r="D2" s="179"/>
      <c r="E2" s="179"/>
      <c r="F2" s="179"/>
      <c r="G2" s="179"/>
      <c r="H2" s="179"/>
    </row>
    <row r="3" spans="2:8" ht="7.5" customHeight="1" x14ac:dyDescent="0.35">
      <c r="B3" s="40"/>
      <c r="C3" s="59"/>
      <c r="D3" s="11"/>
      <c r="E3" s="11"/>
      <c r="F3" s="11"/>
      <c r="G3" s="11"/>
      <c r="H3" s="11"/>
    </row>
    <row r="4" spans="2:8" x14ac:dyDescent="0.35">
      <c r="B4" s="40" t="s">
        <v>65</v>
      </c>
      <c r="C4" s="72" t="s">
        <v>66</v>
      </c>
      <c r="D4" s="11"/>
      <c r="E4" s="11"/>
      <c r="F4" s="41" t="s">
        <v>67</v>
      </c>
      <c r="G4" s="79" t="s">
        <v>19</v>
      </c>
      <c r="H4" s="11"/>
    </row>
    <row r="5" spans="2:8" ht="14.5" customHeight="1" x14ac:dyDescent="0.35">
      <c r="B5" s="40" t="s">
        <v>68</v>
      </c>
      <c r="C5" s="173"/>
      <c r="D5" s="182" t="str">
        <f>IF(C6&gt;C5,"Error Heat Pump Sqft Larger than Total Area, Calculator will not work","")</f>
        <v/>
      </c>
      <c r="E5" s="11"/>
      <c r="F5" s="41" t="s">
        <v>12</v>
      </c>
      <c r="G5" s="79" t="s">
        <v>69</v>
      </c>
      <c r="H5" s="11"/>
    </row>
    <row r="6" spans="2:8" ht="14.5" customHeight="1" x14ac:dyDescent="0.35">
      <c r="B6" s="40" t="s">
        <v>260</v>
      </c>
      <c r="C6" s="173"/>
      <c r="D6" s="182"/>
      <c r="E6" s="11"/>
      <c r="F6" s="41" t="s">
        <v>14</v>
      </c>
      <c r="G6" s="79" t="s">
        <v>69</v>
      </c>
      <c r="H6" s="11"/>
    </row>
    <row r="7" spans="2:8" x14ac:dyDescent="0.35">
      <c r="B7" s="40" t="s">
        <v>70</v>
      </c>
      <c r="C7" s="74" t="s">
        <v>71</v>
      </c>
      <c r="D7" s="182"/>
      <c r="E7" s="11"/>
      <c r="F7" s="41" t="s">
        <v>17</v>
      </c>
      <c r="G7" s="80">
        <v>0</v>
      </c>
      <c r="H7" s="6" t="str">
        <f>IF($C$8="propane","Gallons",IF($C$8="Oil","Gallons",IF($C$8="Natural Gas","Therms","kWh")))</f>
        <v>Gallons</v>
      </c>
    </row>
    <row r="8" spans="2:8" x14ac:dyDescent="0.35">
      <c r="B8" s="40" t="s">
        <v>261</v>
      </c>
      <c r="C8" s="74" t="s">
        <v>72</v>
      </c>
      <c r="D8" s="182"/>
      <c r="E8" s="11"/>
      <c r="F8" s="41" t="s">
        <v>19</v>
      </c>
      <c r="G8" s="172">
        <v>1000</v>
      </c>
      <c r="H8" s="6" t="str">
        <f>IF($C$8="propane","Gallons",IF($C$8="Oil","Gallons",IF($C$8="Natural Gas","Therms","kWh")))</f>
        <v>Gallons</v>
      </c>
    </row>
    <row r="9" spans="2:8" x14ac:dyDescent="0.35">
      <c r="B9" s="40" t="s">
        <v>262</v>
      </c>
      <c r="C9" s="72" t="s">
        <v>145</v>
      </c>
      <c r="D9" s="11"/>
      <c r="E9" s="11"/>
      <c r="F9" s="42"/>
      <c r="G9" s="11"/>
      <c r="H9" s="11"/>
    </row>
    <row r="10" spans="2:8" x14ac:dyDescent="0.35">
      <c r="B10" s="40"/>
      <c r="D10" s="11"/>
      <c r="E10" s="11"/>
      <c r="F10" s="41" t="s">
        <v>74</v>
      </c>
      <c r="G10" s="41" t="s">
        <v>75</v>
      </c>
      <c r="H10" s="41" t="s">
        <v>76</v>
      </c>
    </row>
    <row r="11" spans="2:8" x14ac:dyDescent="0.35">
      <c r="B11" s="40" t="s">
        <v>77</v>
      </c>
      <c r="C11" s="75">
        <v>0.35</v>
      </c>
      <c r="D11" s="69" t="s">
        <v>78</v>
      </c>
      <c r="E11" s="11"/>
      <c r="F11" s="41" t="s">
        <v>79</v>
      </c>
      <c r="G11" s="80">
        <v>500</v>
      </c>
      <c r="H11" s="69" t="str">
        <f t="shared" ref="H11:H22" si="0">IF($C$8="propane","Gallon",IF($C$8="Oil","Gallon",IF($C$8="Natural Gas","Therm","kWh")))</f>
        <v>Gallon</v>
      </c>
    </row>
    <row r="12" spans="2:8" x14ac:dyDescent="0.35">
      <c r="B12" s="40" t="s">
        <v>24</v>
      </c>
      <c r="C12" s="75">
        <v>3</v>
      </c>
      <c r="D12" s="69" t="str">
        <f>IF($C$8="propane","$/Gallon",IF($C$8="Oil","$/Gallon",IF($C$8="Natural Gas","$/Therm","error")))</f>
        <v>$/Gallon</v>
      </c>
      <c r="E12" s="11"/>
      <c r="F12" s="41" t="s">
        <v>80</v>
      </c>
      <c r="G12" s="80">
        <v>400</v>
      </c>
      <c r="H12" s="69" t="str">
        <f t="shared" si="0"/>
        <v>Gallon</v>
      </c>
    </row>
    <row r="13" spans="2:8" x14ac:dyDescent="0.35">
      <c r="B13" s="40"/>
      <c r="C13" s="76"/>
      <c r="D13" s="70"/>
      <c r="E13" s="11"/>
      <c r="F13" s="41" t="s">
        <v>81</v>
      </c>
      <c r="G13" s="80">
        <v>300</v>
      </c>
      <c r="H13" s="69" t="str">
        <f t="shared" si="0"/>
        <v>Gallon</v>
      </c>
    </row>
    <row r="14" spans="2:8" x14ac:dyDescent="0.35">
      <c r="B14" s="40" t="s">
        <v>26</v>
      </c>
      <c r="C14" s="74" t="s">
        <v>142</v>
      </c>
      <c r="D14" s="70"/>
      <c r="E14" s="11"/>
      <c r="F14" s="41" t="s">
        <v>83</v>
      </c>
      <c r="G14" s="80">
        <v>200</v>
      </c>
      <c r="H14" s="69" t="str">
        <f t="shared" si="0"/>
        <v>Gallon</v>
      </c>
    </row>
    <row r="15" spans="2:8" x14ac:dyDescent="0.35">
      <c r="B15" s="40" t="s">
        <v>263</v>
      </c>
      <c r="C15" s="74" t="s">
        <v>84</v>
      </c>
      <c r="D15" s="70"/>
      <c r="E15" s="11"/>
      <c r="F15" s="41" t="s">
        <v>85</v>
      </c>
      <c r="G15" s="80"/>
      <c r="H15" s="69" t="str">
        <f t="shared" si="0"/>
        <v>Gallon</v>
      </c>
    </row>
    <row r="16" spans="2:8" x14ac:dyDescent="0.35">
      <c r="B16" s="11"/>
      <c r="C16" s="76"/>
      <c r="D16" s="70"/>
      <c r="E16" s="11"/>
      <c r="F16" s="41" t="s">
        <v>86</v>
      </c>
      <c r="G16" s="80"/>
      <c r="H16" s="69" t="str">
        <f t="shared" si="0"/>
        <v>Gallon</v>
      </c>
    </row>
    <row r="17" spans="2:8" x14ac:dyDescent="0.35">
      <c r="B17" s="40" t="s">
        <v>28</v>
      </c>
      <c r="C17" s="168">
        <f>'HP Sizer'!C19</f>
        <v>0</v>
      </c>
      <c r="D17" s="69" t="s">
        <v>87</v>
      </c>
      <c r="E17" s="11"/>
      <c r="F17" s="41" t="s">
        <v>88</v>
      </c>
      <c r="G17" s="80"/>
      <c r="H17" s="69" t="str">
        <f t="shared" si="0"/>
        <v>Gallon</v>
      </c>
    </row>
    <row r="18" spans="2:8" x14ac:dyDescent="0.35">
      <c r="B18" s="11"/>
      <c r="C18" s="76"/>
      <c r="D18" s="70"/>
      <c r="E18" s="11"/>
      <c r="F18" s="41" t="s">
        <v>89</v>
      </c>
      <c r="G18" s="80">
        <v>200</v>
      </c>
      <c r="H18" s="69" t="str">
        <f t="shared" si="0"/>
        <v>Gallon</v>
      </c>
    </row>
    <row r="19" spans="2:8" x14ac:dyDescent="0.35">
      <c r="B19" s="40" t="s">
        <v>29</v>
      </c>
      <c r="C19" s="73">
        <v>3</v>
      </c>
      <c r="D19" s="69" t="s">
        <v>87</v>
      </c>
      <c r="E19" s="11"/>
      <c r="F19" s="41" t="s">
        <v>90</v>
      </c>
      <c r="G19" s="80">
        <v>300</v>
      </c>
      <c r="H19" s="69" t="str">
        <f t="shared" si="0"/>
        <v>Gallon</v>
      </c>
    </row>
    <row r="20" spans="2:8" x14ac:dyDescent="0.35">
      <c r="B20" s="11"/>
      <c r="C20" s="76"/>
      <c r="D20" s="70"/>
      <c r="E20" s="11"/>
      <c r="F20" s="41" t="s">
        <v>91</v>
      </c>
      <c r="G20" s="80">
        <v>400</v>
      </c>
      <c r="H20" s="69" t="str">
        <f t="shared" si="0"/>
        <v>Gallon</v>
      </c>
    </row>
    <row r="21" spans="2:8" x14ac:dyDescent="0.35">
      <c r="B21" s="40" t="s">
        <v>268</v>
      </c>
      <c r="C21" s="169">
        <f>'Incentive Estimator'!C10</f>
        <v>10500</v>
      </c>
      <c r="D21" s="71"/>
      <c r="E21" s="11"/>
      <c r="F21" s="41" t="s">
        <v>92</v>
      </c>
      <c r="G21" s="80">
        <v>500</v>
      </c>
      <c r="H21" s="69" t="str">
        <f t="shared" si="0"/>
        <v>Gallon</v>
      </c>
    </row>
    <row r="22" spans="2:8" x14ac:dyDescent="0.35">
      <c r="B22" s="40" t="s">
        <v>31</v>
      </c>
      <c r="C22" s="169">
        <f>'Install Cost'!C9</f>
        <v>48000</v>
      </c>
      <c r="D22" s="70"/>
      <c r="E22" s="11"/>
      <c r="F22" s="41" t="s">
        <v>93</v>
      </c>
      <c r="G22" s="80">
        <v>600</v>
      </c>
      <c r="H22" s="69" t="str">
        <f t="shared" si="0"/>
        <v>Gallon</v>
      </c>
    </row>
    <row r="23" spans="2:8" x14ac:dyDescent="0.35">
      <c r="B23" s="11"/>
      <c r="C23" s="76"/>
      <c r="D23" s="70"/>
      <c r="E23" s="11"/>
      <c r="F23" s="11"/>
      <c r="G23" s="11"/>
      <c r="H23" s="11"/>
    </row>
    <row r="24" spans="2:8" x14ac:dyDescent="0.35">
      <c r="B24" s="40" t="s">
        <v>33</v>
      </c>
      <c r="C24" s="169" t="e">
        <f>'Operating Heat'!C43</f>
        <v>#DIV/0!</v>
      </c>
      <c r="D24" s="180" t="s">
        <v>94</v>
      </c>
      <c r="E24" s="11"/>
      <c r="F24" s="11"/>
      <c r="G24" s="11"/>
      <c r="H24" s="11"/>
    </row>
    <row r="25" spans="2:8" x14ac:dyDescent="0.35">
      <c r="B25" s="40" t="s">
        <v>34</v>
      </c>
      <c r="C25" s="169" t="e">
        <f>'Operating Heat'!C44</f>
        <v>#DIV/0!</v>
      </c>
      <c r="D25" s="181"/>
      <c r="E25" s="11"/>
      <c r="F25" s="11"/>
      <c r="G25" s="11"/>
      <c r="H25" s="11"/>
    </row>
    <row r="26" spans="2:8" x14ac:dyDescent="0.35">
      <c r="B26" s="40" t="s">
        <v>35</v>
      </c>
      <c r="C26" s="170" t="e">
        <f>C24-C25</f>
        <v>#DIV/0!</v>
      </c>
      <c r="D26" s="181"/>
      <c r="E26" s="11"/>
      <c r="F26" s="11"/>
      <c r="G26" s="11"/>
      <c r="H26" s="11"/>
    </row>
    <row r="27" spans="2:8" x14ac:dyDescent="0.35">
      <c r="B27" s="11"/>
      <c r="C27" s="76"/>
      <c r="D27" s="70"/>
      <c r="E27" s="11"/>
      <c r="F27" s="11"/>
      <c r="G27" s="11"/>
      <c r="H27" s="11"/>
    </row>
    <row r="28" spans="2:8" x14ac:dyDescent="0.35">
      <c r="B28" s="40" t="s">
        <v>37</v>
      </c>
      <c r="C28" s="171" t="e">
        <f>'Operating Heat'!C41</f>
        <v>#DIV/0!</v>
      </c>
      <c r="D28" s="69" t="str">
        <f>IF($C$8="propane","Gallons",IF($C$8="Oil","Gallons",IF($C$8="Natural Gas","Therms","kWh")))</f>
        <v>Gallons</v>
      </c>
      <c r="E28" s="11"/>
      <c r="F28" s="11"/>
      <c r="G28" s="11"/>
      <c r="H28" s="11"/>
    </row>
    <row r="29" spans="2:8" x14ac:dyDescent="0.35">
      <c r="B29" s="40" t="s">
        <v>39</v>
      </c>
      <c r="C29" s="171" t="e">
        <f>'Operating Heat'!C42</f>
        <v>#DIV/0!</v>
      </c>
      <c r="D29" s="69" t="s">
        <v>95</v>
      </c>
      <c r="E29" s="56"/>
      <c r="F29" s="11"/>
      <c r="G29" s="11"/>
      <c r="H29" s="11"/>
    </row>
    <row r="30" spans="2:8" x14ac:dyDescent="0.35">
      <c r="B30" s="11"/>
      <c r="C30" s="76"/>
      <c r="D30" s="70"/>
      <c r="E30" s="11"/>
      <c r="F30" s="11"/>
      <c r="G30" s="11"/>
      <c r="H30" s="11"/>
    </row>
    <row r="31" spans="2:8" x14ac:dyDescent="0.35">
      <c r="B31" s="40" t="s">
        <v>40</v>
      </c>
      <c r="C31" s="77">
        <f>'Operating AC'!C12</f>
        <v>-1869.9999966339999</v>
      </c>
      <c r="D31" s="69" t="s">
        <v>95</v>
      </c>
      <c r="E31" s="11"/>
      <c r="F31" s="11"/>
      <c r="G31" s="11"/>
      <c r="H31" s="11"/>
    </row>
    <row r="32" spans="2:8" x14ac:dyDescent="0.35">
      <c r="B32" s="11"/>
      <c r="C32" s="76"/>
      <c r="D32" s="70"/>
      <c r="E32" s="11"/>
      <c r="F32" s="11"/>
      <c r="G32" s="11"/>
      <c r="H32" s="11"/>
    </row>
    <row r="33" spans="2:8" x14ac:dyDescent="0.35">
      <c r="B33" s="40" t="s">
        <v>42</v>
      </c>
      <c r="C33" s="78" t="e">
        <f>'GHG Estimator'!C8</f>
        <v>#DIV/0!</v>
      </c>
      <c r="D33" s="69" t="s">
        <v>96</v>
      </c>
      <c r="E33" s="11"/>
      <c r="F33" s="11"/>
      <c r="G33" s="11"/>
      <c r="H33" s="11"/>
    </row>
    <row r="34" spans="2:8" x14ac:dyDescent="0.35">
      <c r="B34" s="11"/>
      <c r="C34" s="59"/>
      <c r="D34" s="11"/>
      <c r="E34" s="11"/>
      <c r="F34" s="11"/>
      <c r="G34" s="11"/>
      <c r="H34" s="11"/>
    </row>
    <row r="35" spans="2:8" x14ac:dyDescent="0.35">
      <c r="B35" s="11"/>
      <c r="C35" s="59"/>
      <c r="D35" s="11"/>
      <c r="E35" s="11"/>
      <c r="F35" s="11"/>
      <c r="G35" s="11"/>
      <c r="H35" s="11"/>
    </row>
  </sheetData>
  <sheetProtection algorithmName="SHA-512" hashValue="Lnjd2WQuZ8FuDnKOKPIaEQwa9nAlkxka5BmCBTZLbE2QrpATw0AdUWT9FJb8MqNV8TXmXKa6QHjwADrOJ3fgCg==" saltValue="Gn+xAiIkxhecqMlAQHaS6w==" spinCount="100000" sheet="1" objects="1" scenarios="1"/>
  <mergeCells count="3">
    <mergeCell ref="B2:H2"/>
    <mergeCell ref="D24:D26"/>
    <mergeCell ref="D5:D8"/>
  </mergeCells>
  <phoneticPr fontId="20" type="noConversion"/>
  <pageMargins left="0.7" right="0.7" top="0.75" bottom="0.75" header="0.3" footer="0.3"/>
  <pageSetup orientation="portrait" horizontalDpi="300" verticalDpi="300" r:id="rId1"/>
  <ignoredErrors>
    <ignoredError sqref="C17 C22 C24:C26 C28:C29" unlockedFormula="1"/>
  </ignoredErrors>
  <extLst>
    <ext xmlns:x14="http://schemas.microsoft.com/office/spreadsheetml/2009/9/main" uri="{78C0D931-6437-407d-A8EE-F0AAD7539E65}">
      <x14:conditionalFormattings>
        <x14:conditionalFormatting xmlns:xm="http://schemas.microsoft.com/office/excel/2006/main">
          <x14:cfRule type="expression" priority="2" id="{4E55A597-D3AF-43BB-A00E-4703A29AD2CD}">
            <xm:f>$C$8=Lists!$D$3</xm:f>
            <x14:dxf>
              <font>
                <color theme="0"/>
              </font>
              <fill>
                <patternFill>
                  <bgColor theme="0"/>
                </patternFill>
              </fill>
            </x14:dxf>
          </x14:cfRule>
          <xm:sqref>B12:D12</xm:sqref>
        </x14:conditionalFormatting>
        <x14:conditionalFormatting xmlns:xm="http://schemas.microsoft.com/office/excel/2006/main">
          <x14:cfRule type="expression" priority="1" id="{4C34E102-6F1C-4F9A-B8D4-484DE078A033}">
            <xm:f>Lists!$M$3=0</xm:f>
            <x14:dxf>
              <font>
                <color theme="0"/>
              </font>
              <fill>
                <patternFill>
                  <bgColor theme="0"/>
                </patternFill>
              </fill>
            </x14:dxf>
          </x14:cfRule>
          <xm:sqref>F6:G6</xm:sqref>
        </x14:conditionalFormatting>
        <x14:conditionalFormatting xmlns:xm="http://schemas.microsoft.com/office/excel/2006/main">
          <x14:cfRule type="expression" priority="4" id="{B47D00E2-76BF-482A-A56B-CBFB87EEAA5C}">
            <xm:f>$G$4=Lists!$G$3</xm:f>
            <x14:dxf>
              <font>
                <color theme="0"/>
              </font>
              <fill>
                <patternFill>
                  <bgColor theme="0"/>
                </patternFill>
              </fill>
            </x14:dxf>
          </x14:cfRule>
          <xm:sqref>F5:H8</xm:sqref>
        </x14:conditionalFormatting>
        <x14:conditionalFormatting xmlns:xm="http://schemas.microsoft.com/office/excel/2006/main">
          <x14:cfRule type="expression" priority="3" id="{DD64667E-0BA3-40BB-A921-43C182413001}">
            <xm:f>$G$4=Lists!$G$4</xm:f>
            <x14:dxf>
              <font>
                <color theme="0"/>
              </font>
              <fill>
                <patternFill>
                  <bgColor theme="0"/>
                </patternFill>
              </fill>
            </x14:dxf>
          </x14:cfRule>
          <xm:sqref>F10:H22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6881D7D-4CDD-4360-ABDA-3E1E50B41F42}">
          <x14:formula1>
            <xm:f>Lists!$D$3:$D$6</xm:f>
          </x14:formula1>
          <xm:sqref>C8</xm:sqref>
        </x14:dataValidation>
        <x14:dataValidation type="list" allowBlank="1" showInputMessage="1" showErrorMessage="1" xr:uid="{84858409-9591-48F5-B3C5-722E50F05053}">
          <x14:formula1>
            <xm:f>Lists!$G$3:$G$4</xm:f>
          </x14:formula1>
          <xm:sqref>G4</xm:sqref>
        </x14:dataValidation>
        <x14:dataValidation type="list" allowBlank="1" showInputMessage="1" showErrorMessage="1" xr:uid="{0DD24193-C3CC-4277-A874-5D32C594E693}">
          <x14:formula1>
            <xm:f>Lists!$C$3:$C$8</xm:f>
          </x14:formula1>
          <xm:sqref>C7</xm:sqref>
        </x14:dataValidation>
        <x14:dataValidation type="list" allowBlank="1" showInputMessage="1" showErrorMessage="1" xr:uid="{193E2B4F-10FF-4A02-9BB3-1786E95F910A}">
          <x14:formula1>
            <xm:f>Lists!$E$3:$E$7</xm:f>
          </x14:formula1>
          <xm:sqref>C9</xm:sqref>
        </x14:dataValidation>
        <x14:dataValidation type="list" allowBlank="1" showInputMessage="1" showErrorMessage="1" xr:uid="{A198A8C3-22E3-492A-8EE9-8B5CCB32C736}">
          <x14:formula1>
            <xm:f>Lists!$J$3:$J$4</xm:f>
          </x14:formula1>
          <xm:sqref>G5:G6</xm:sqref>
        </x14:dataValidation>
        <x14:dataValidation type="list" allowBlank="1" showInputMessage="1" showErrorMessage="1" xr:uid="{8EC1EE4B-71BF-4778-B1B4-8075A7E8CDAF}">
          <x14:formula1>
            <xm:f>Lists!$B$3:$B$11</xm:f>
          </x14:formula1>
          <xm:sqref>C4</xm:sqref>
        </x14:dataValidation>
        <x14:dataValidation type="list" allowBlank="1" showInputMessage="1" showErrorMessage="1" xr:uid="{48C66F6D-BA8B-4AD4-B990-DEAC01880A49}">
          <x14:formula1>
            <xm:f>Lists!$K$3:$K$6</xm:f>
          </x14:formula1>
          <xm:sqref>C15</xm:sqref>
        </x14:dataValidation>
        <x14:dataValidation type="list" allowBlank="1" showInputMessage="1" showErrorMessage="1" xr:uid="{C365CF16-5C9A-45FE-BB92-8F3943BB781F}">
          <x14:formula1>
            <xm:f>Lists!$H$3:$H$5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D9E4-D9A9-406D-8D81-98D30731947A}">
  <dimension ref="B2:K19"/>
  <sheetViews>
    <sheetView workbookViewId="0">
      <selection activeCell="I12" sqref="I12"/>
    </sheetView>
  </sheetViews>
  <sheetFormatPr defaultRowHeight="14.5" x14ac:dyDescent="0.35"/>
  <cols>
    <col min="2" max="2" width="16.1796875" bestFit="1" customWidth="1"/>
    <col min="3" max="3" width="18.1796875" bestFit="1" customWidth="1"/>
    <col min="5" max="5" width="4.453125" customWidth="1"/>
    <col min="6" max="6" width="16.453125" bestFit="1" customWidth="1"/>
    <col min="7" max="7" width="17.54296875" customWidth="1"/>
    <col min="8" max="8" width="15.1796875" customWidth="1"/>
    <col min="9" max="9" width="5.54296875" customWidth="1"/>
    <col min="10" max="10" width="16.7265625" bestFit="1" customWidth="1"/>
    <col min="11" max="11" width="10.81640625" customWidth="1"/>
  </cols>
  <sheetData>
    <row r="2" spans="2:11" x14ac:dyDescent="0.35">
      <c r="B2" s="178" t="s">
        <v>28</v>
      </c>
      <c r="C2" s="179"/>
      <c r="D2" s="179"/>
      <c r="E2" s="179"/>
      <c r="F2" s="179"/>
      <c r="G2" s="179"/>
      <c r="H2" s="179"/>
      <c r="I2" s="179"/>
      <c r="J2" s="179"/>
      <c r="K2" s="179"/>
    </row>
    <row r="4" spans="2:11" ht="24" x14ac:dyDescent="0.35">
      <c r="B4" s="40" t="s">
        <v>9</v>
      </c>
      <c r="C4" s="6" t="str">
        <f>'Calculator '!C4</f>
        <v>Office</v>
      </c>
      <c r="F4" s="47" t="s">
        <v>106</v>
      </c>
      <c r="G4" s="47" t="s">
        <v>107</v>
      </c>
      <c r="H4" s="47" t="s">
        <v>108</v>
      </c>
      <c r="J4" s="47" t="s">
        <v>109</v>
      </c>
      <c r="K4" s="47" t="s">
        <v>110</v>
      </c>
    </row>
    <row r="5" spans="2:11" x14ac:dyDescent="0.35">
      <c r="B5" s="31" t="s">
        <v>111</v>
      </c>
      <c r="C5" s="6">
        <f>'Calculator '!C6</f>
        <v>0</v>
      </c>
      <c r="F5" s="10" t="s">
        <v>66</v>
      </c>
      <c r="G5" s="10">
        <v>8.3000000000000001E-3</v>
      </c>
      <c r="H5" s="10">
        <v>3.39E-2</v>
      </c>
      <c r="J5" s="10" t="s">
        <v>84</v>
      </c>
      <c r="K5" s="45">
        <v>0</v>
      </c>
    </row>
    <row r="6" spans="2:11" x14ac:dyDescent="0.35">
      <c r="B6" s="31" t="s">
        <v>112</v>
      </c>
      <c r="C6" s="6">
        <f>VLOOKUP(C4,F5:G13,2,FALSE)</f>
        <v>8.3000000000000001E-3</v>
      </c>
      <c r="F6" s="7" t="s">
        <v>113</v>
      </c>
      <c r="G6" s="7">
        <v>3.7000000000000002E-3</v>
      </c>
      <c r="H6" s="7">
        <v>1.4999999999999999E-2</v>
      </c>
      <c r="J6" s="7" t="s">
        <v>114</v>
      </c>
      <c r="K6" s="46">
        <v>2.0127883217614946E-2</v>
      </c>
    </row>
    <row r="7" spans="2:11" x14ac:dyDescent="0.35">
      <c r="B7" s="31" t="s">
        <v>115</v>
      </c>
      <c r="C7" s="6">
        <f>VLOOKUP(C4,F5:H13,3,FALSE)</f>
        <v>3.39E-2</v>
      </c>
      <c r="F7" s="10" t="s">
        <v>116</v>
      </c>
      <c r="G7" s="10">
        <v>1.26E-2</v>
      </c>
      <c r="H7" s="10">
        <v>5.1400000000000001E-2</v>
      </c>
      <c r="J7" s="10" t="s">
        <v>117</v>
      </c>
      <c r="K7" s="45">
        <v>0.11489158390175966</v>
      </c>
    </row>
    <row r="8" spans="2:11" x14ac:dyDescent="0.35">
      <c r="B8" s="31" t="s">
        <v>112</v>
      </c>
      <c r="C8" s="6">
        <f>C6*C5</f>
        <v>0</v>
      </c>
      <c r="D8" t="s">
        <v>118</v>
      </c>
      <c r="F8" s="7" t="s">
        <v>119</v>
      </c>
      <c r="G8" s="7">
        <v>3.3E-3</v>
      </c>
      <c r="H8" s="7">
        <v>1.3599999999999999E-2</v>
      </c>
      <c r="J8" s="7" t="s">
        <v>120</v>
      </c>
      <c r="K8" s="46">
        <v>0.46977259558203127</v>
      </c>
    </row>
    <row r="9" spans="2:11" x14ac:dyDescent="0.35">
      <c r="B9" s="31" t="s">
        <v>115</v>
      </c>
      <c r="C9" s="6">
        <f>C7*C5</f>
        <v>0</v>
      </c>
      <c r="D9" t="s">
        <v>118</v>
      </c>
      <c r="F9" s="10" t="s">
        <v>121</v>
      </c>
      <c r="G9" s="10">
        <v>6.7999999999999996E-3</v>
      </c>
      <c r="H9" s="10">
        <v>2.7799999999999998E-2</v>
      </c>
    </row>
    <row r="10" spans="2:11" x14ac:dyDescent="0.35">
      <c r="B10" s="31" t="s">
        <v>112</v>
      </c>
      <c r="C10" s="6">
        <f>C8*10^3/12000</f>
        <v>0</v>
      </c>
      <c r="D10" t="s">
        <v>87</v>
      </c>
      <c r="F10" s="7" t="s">
        <v>122</v>
      </c>
      <c r="G10" s="7">
        <v>5.0000000000000001E-3</v>
      </c>
      <c r="H10" s="7">
        <v>2.0199999999999999E-2</v>
      </c>
    </row>
    <row r="11" spans="2:11" x14ac:dyDescent="0.35">
      <c r="B11" s="31" t="s">
        <v>115</v>
      </c>
      <c r="C11" s="6">
        <f>C9*10^3/12000</f>
        <v>0</v>
      </c>
      <c r="D11" t="s">
        <v>123</v>
      </c>
      <c r="F11" s="10" t="s">
        <v>124</v>
      </c>
      <c r="G11" s="10">
        <v>8.3999999999999995E-3</v>
      </c>
      <c r="H11" s="10">
        <v>3.4299999999999997E-2</v>
      </c>
    </row>
    <row r="12" spans="2:11" x14ac:dyDescent="0.35">
      <c r="B12" s="31"/>
      <c r="F12" s="7" t="s">
        <v>125</v>
      </c>
      <c r="G12" s="7">
        <v>1.0999999999999999E-2</v>
      </c>
      <c r="H12" s="7">
        <v>4.4699999999999997E-2</v>
      </c>
    </row>
    <row r="13" spans="2:11" x14ac:dyDescent="0.35">
      <c r="B13" s="40" t="s">
        <v>27</v>
      </c>
      <c r="C13" s="6" t="str">
        <f>'Calculator '!C15</f>
        <v>Full displacement</v>
      </c>
      <c r="F13" s="10" t="s">
        <v>126</v>
      </c>
      <c r="G13" s="10">
        <v>5.7999999999999996E-3</v>
      </c>
      <c r="H13" s="10">
        <v>2.3699999999999999E-2</v>
      </c>
    </row>
    <row r="14" spans="2:11" x14ac:dyDescent="0.35">
      <c r="B14" s="31" t="s">
        <v>127</v>
      </c>
      <c r="C14" s="6">
        <f>VLOOKUP(C13,J5:K8,2,FALSE)</f>
        <v>0</v>
      </c>
    </row>
    <row r="15" spans="2:11" x14ac:dyDescent="0.35">
      <c r="B15" s="31"/>
    </row>
    <row r="16" spans="2:11" x14ac:dyDescent="0.35">
      <c r="B16" s="31" t="s">
        <v>128</v>
      </c>
      <c r="C16" s="44">
        <f>C10</f>
        <v>0</v>
      </c>
      <c r="D16" t="s">
        <v>87</v>
      </c>
    </row>
    <row r="17" spans="2:4" x14ac:dyDescent="0.35">
      <c r="B17" s="31" t="s">
        <v>129</v>
      </c>
      <c r="C17" s="44">
        <f>C11*(1-C14)</f>
        <v>0</v>
      </c>
      <c r="D17" t="s">
        <v>87</v>
      </c>
    </row>
    <row r="18" spans="2:4" x14ac:dyDescent="0.35">
      <c r="B18" s="31"/>
    </row>
    <row r="19" spans="2:4" x14ac:dyDescent="0.35">
      <c r="B19" s="31" t="s">
        <v>130</v>
      </c>
      <c r="C19" s="36">
        <f>MAX(C16:C17)</f>
        <v>0</v>
      </c>
      <c r="D19" t="s">
        <v>87</v>
      </c>
    </row>
  </sheetData>
  <mergeCells count="1">
    <mergeCell ref="B2:K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C20FCE0-D512-4A5D-9667-F868BD82EEE2}">
          <x14:formula1>
            <xm:f>Lists!$B$3:$B$11</xm:f>
          </x14:formula1>
          <xm:sqref>C4</xm:sqref>
        </x14:dataValidation>
        <x14:dataValidation type="list" allowBlank="1" showInputMessage="1" showErrorMessage="1" xr:uid="{E5980E0B-0AAF-47A6-B03E-D018E5BAD837}">
          <x14:formula1>
            <xm:f>Lists!$K$3:$K$6</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8672-86C1-42CB-8D36-6C00C1CE5495}">
  <dimension ref="B2:R13"/>
  <sheetViews>
    <sheetView zoomScale="70" zoomScaleNormal="70" workbookViewId="0">
      <selection activeCell="C14" sqref="C14"/>
    </sheetView>
  </sheetViews>
  <sheetFormatPr defaultRowHeight="14.5" x14ac:dyDescent="0.35"/>
  <cols>
    <col min="2" max="3" width="13.453125" bestFit="1" customWidth="1"/>
    <col min="4" max="4" width="9.1796875" bestFit="1" customWidth="1"/>
    <col min="6" max="6" width="15.81640625" bestFit="1" customWidth="1"/>
    <col min="9" max="9" width="22.1796875" bestFit="1" customWidth="1"/>
    <col min="13" max="13" width="15.81640625" bestFit="1" customWidth="1"/>
    <col min="14" max="14" width="15.54296875" bestFit="1" customWidth="1"/>
    <col min="15" max="15" width="6.453125" bestFit="1" customWidth="1"/>
    <col min="17" max="17" width="22.1796875" bestFit="1" customWidth="1"/>
    <col min="18" max="18" width="12" bestFit="1" customWidth="1"/>
    <col min="19" max="19" width="9.26953125" bestFit="1" customWidth="1"/>
  </cols>
  <sheetData>
    <row r="2" spans="2:18" x14ac:dyDescent="0.35">
      <c r="B2" s="178" t="s">
        <v>131</v>
      </c>
      <c r="C2" s="179"/>
      <c r="D2" s="179"/>
      <c r="E2" s="179"/>
      <c r="F2" s="179"/>
      <c r="G2" s="179"/>
      <c r="H2" s="179"/>
      <c r="I2" s="179"/>
      <c r="J2" s="179"/>
    </row>
    <row r="4" spans="2:18" x14ac:dyDescent="0.35">
      <c r="B4" s="31" t="s">
        <v>132</v>
      </c>
      <c r="C4" s="6">
        <v>935</v>
      </c>
      <c r="D4" t="s">
        <v>133</v>
      </c>
      <c r="F4" s="6" t="str">
        <f>'Calculator '!C14</f>
        <v>VRF</v>
      </c>
      <c r="G4" s="5">
        <f>VLOOKUP(F4,F6:G8,2,FALSE)</f>
        <v>18</v>
      </c>
      <c r="I4" s="6" t="str">
        <f>'Calculator '!C9</f>
        <v>None</v>
      </c>
      <c r="J4" s="5">
        <f>VLOOKUP(I4,I6:J10,2,FALSE)</f>
        <v>10000000000</v>
      </c>
    </row>
    <row r="5" spans="2:18" x14ac:dyDescent="0.35">
      <c r="B5" s="31" t="s">
        <v>134</v>
      </c>
      <c r="C5" s="6">
        <f>'Calculator '!C19</f>
        <v>3</v>
      </c>
      <c r="D5" t="s">
        <v>87</v>
      </c>
      <c r="F5" s="32" t="s">
        <v>26</v>
      </c>
      <c r="G5" s="32" t="s">
        <v>135</v>
      </c>
      <c r="I5" s="32" t="s">
        <v>21</v>
      </c>
      <c r="J5" s="32" t="s">
        <v>135</v>
      </c>
    </row>
    <row r="6" spans="2:18" x14ac:dyDescent="0.35">
      <c r="B6" s="31" t="s">
        <v>136</v>
      </c>
      <c r="C6" s="6">
        <f>C5*12000/1000</f>
        <v>36</v>
      </c>
      <c r="D6" t="s">
        <v>137</v>
      </c>
      <c r="F6" s="10" t="s">
        <v>138</v>
      </c>
      <c r="G6" s="10">
        <v>12.5</v>
      </c>
      <c r="I6" s="10" t="s">
        <v>139</v>
      </c>
      <c r="J6" s="10">
        <v>8</v>
      </c>
    </row>
    <row r="7" spans="2:18" x14ac:dyDescent="0.35">
      <c r="B7" s="31" t="s">
        <v>140</v>
      </c>
      <c r="C7" s="6">
        <f>J4</f>
        <v>10000000000</v>
      </c>
      <c r="D7" t="s">
        <v>141</v>
      </c>
      <c r="F7" s="7" t="s">
        <v>142</v>
      </c>
      <c r="G7" s="7">
        <v>18</v>
      </c>
      <c r="I7" s="7" t="s">
        <v>143</v>
      </c>
      <c r="J7" s="7">
        <v>10</v>
      </c>
    </row>
    <row r="8" spans="2:18" x14ac:dyDescent="0.35">
      <c r="B8" s="31" t="s">
        <v>144</v>
      </c>
      <c r="C8" s="6">
        <f>G4</f>
        <v>18</v>
      </c>
      <c r="D8" t="s">
        <v>141</v>
      </c>
      <c r="F8" s="10" t="s">
        <v>82</v>
      </c>
      <c r="G8" s="10">
        <v>15</v>
      </c>
      <c r="I8" s="10" t="s">
        <v>145</v>
      </c>
      <c r="J8" s="10">
        <v>10000000000</v>
      </c>
    </row>
    <row r="9" spans="2:18" x14ac:dyDescent="0.35">
      <c r="B9" s="31"/>
      <c r="C9" s="31"/>
      <c r="D9" s="31"/>
      <c r="E9" s="31"/>
      <c r="I9" s="7" t="s">
        <v>146</v>
      </c>
      <c r="J9" s="7">
        <v>9</v>
      </c>
    </row>
    <row r="10" spans="2:18" x14ac:dyDescent="0.35">
      <c r="B10" s="31" t="s">
        <v>147</v>
      </c>
      <c r="C10" s="6">
        <f>C4*C6*(1/C7)</f>
        <v>3.366E-6</v>
      </c>
      <c r="D10" t="s">
        <v>95</v>
      </c>
      <c r="I10" s="10" t="s">
        <v>73</v>
      </c>
      <c r="J10" s="10">
        <v>8</v>
      </c>
    </row>
    <row r="11" spans="2:18" x14ac:dyDescent="0.35">
      <c r="B11" s="31" t="s">
        <v>148</v>
      </c>
      <c r="C11" s="6">
        <f>C4*C6*(1/C8)</f>
        <v>1870</v>
      </c>
      <c r="D11" t="s">
        <v>95</v>
      </c>
      <c r="R11" s="31"/>
    </row>
    <row r="12" spans="2:18" x14ac:dyDescent="0.35">
      <c r="B12" s="31" t="s">
        <v>149</v>
      </c>
      <c r="C12" s="6">
        <f>C10-C11</f>
        <v>-1869.9999966339999</v>
      </c>
      <c r="D12" t="s">
        <v>95</v>
      </c>
    </row>
    <row r="13" spans="2:18" x14ac:dyDescent="0.35">
      <c r="B13" s="31" t="s">
        <v>150</v>
      </c>
      <c r="C13">
        <f>C12*3412</f>
        <v>-6380439.9885152075</v>
      </c>
      <c r="D13" t="s">
        <v>151</v>
      </c>
    </row>
  </sheetData>
  <mergeCells count="1">
    <mergeCell ref="B2:J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5510-2B5D-4AB1-BC9E-A7A5AC75C752}">
  <dimension ref="B2:W44"/>
  <sheetViews>
    <sheetView topLeftCell="G1" zoomScale="115" zoomScaleNormal="115" workbookViewId="0">
      <selection activeCell="K6" sqref="K6:K10"/>
    </sheetView>
  </sheetViews>
  <sheetFormatPr defaultRowHeight="14.5" x14ac:dyDescent="0.35"/>
  <cols>
    <col min="2" max="2" width="25.1796875" bestFit="1" customWidth="1"/>
    <col min="3" max="3" width="26.453125" bestFit="1" customWidth="1"/>
    <col min="4" max="4" width="14.1796875" bestFit="1" customWidth="1"/>
    <col min="5" max="5" width="3.453125" customWidth="1"/>
    <col min="6" max="6" width="17.81640625" bestFit="1" customWidth="1"/>
    <col min="10" max="10" width="19.453125" bestFit="1" customWidth="1"/>
    <col min="11" max="11" width="12.453125" bestFit="1" customWidth="1"/>
    <col min="12" max="12" width="9" customWidth="1"/>
    <col min="13" max="13" width="18.26953125" bestFit="1" customWidth="1"/>
    <col min="15" max="15" width="9.54296875" bestFit="1" customWidth="1"/>
    <col min="17" max="17" width="21" bestFit="1" customWidth="1"/>
    <col min="19" max="19" width="16.7265625" bestFit="1" customWidth="1"/>
    <col min="22" max="22" width="19.7265625" bestFit="1" customWidth="1"/>
    <col min="23" max="23" width="28.453125" bestFit="1" customWidth="1"/>
  </cols>
  <sheetData>
    <row r="2" spans="2:23" x14ac:dyDescent="0.35">
      <c r="B2" s="178" t="s">
        <v>152</v>
      </c>
      <c r="C2" s="179"/>
      <c r="D2" s="179"/>
      <c r="E2" s="179"/>
      <c r="F2" s="179"/>
      <c r="G2" s="179"/>
      <c r="H2" s="179"/>
      <c r="I2" s="48"/>
      <c r="J2" s="178" t="s">
        <v>153</v>
      </c>
      <c r="K2" s="179"/>
      <c r="L2" s="179"/>
      <c r="M2" s="179"/>
      <c r="N2" s="179"/>
      <c r="O2" s="179"/>
      <c r="P2" s="179"/>
      <c r="Q2" s="179"/>
      <c r="R2" s="179"/>
      <c r="S2" s="179"/>
      <c r="T2" s="179"/>
      <c r="U2" s="179"/>
      <c r="V2" s="179"/>
      <c r="W2" s="179"/>
    </row>
    <row r="5" spans="2:23" x14ac:dyDescent="0.35">
      <c r="B5" s="31" t="s">
        <v>67</v>
      </c>
      <c r="C5" s="6" t="str">
        <f>'Calculator '!G4</f>
        <v>Yearly</v>
      </c>
      <c r="F5" s="31" t="s">
        <v>77</v>
      </c>
      <c r="G5" s="6">
        <v>0.3</v>
      </c>
      <c r="H5" s="6" t="s">
        <v>78</v>
      </c>
      <c r="J5" s="2" t="s">
        <v>154</v>
      </c>
      <c r="K5" s="2" t="s">
        <v>155</v>
      </c>
      <c r="S5" s="2" t="s">
        <v>156</v>
      </c>
      <c r="T5" s="2" t="s">
        <v>157</v>
      </c>
      <c r="V5" s="2" t="s">
        <v>109</v>
      </c>
      <c r="W5" s="2" t="s">
        <v>110</v>
      </c>
    </row>
    <row r="6" spans="2:23" x14ac:dyDescent="0.35">
      <c r="B6" s="31" t="s">
        <v>158</v>
      </c>
      <c r="C6" s="6" t="str">
        <f>'Calculator '!G5</f>
        <v>No</v>
      </c>
      <c r="F6" s="31" t="s">
        <v>24</v>
      </c>
      <c r="G6" s="6">
        <f>IF(C9=S6,G5,'Calculator '!C12)</f>
        <v>3</v>
      </c>
      <c r="H6" s="6" t="str">
        <f>IF($D$11="propane","$/Gallon",IF($D$11="Oil","$/Gallon",IF($D$11="Natural Gas","$/Therm","error")))</f>
        <v>error</v>
      </c>
      <c r="J6" s="10" t="s">
        <v>159</v>
      </c>
      <c r="K6" s="45">
        <v>0.7</v>
      </c>
      <c r="N6" s="2" t="s">
        <v>120</v>
      </c>
      <c r="O6" s="2" t="s">
        <v>117</v>
      </c>
      <c r="P6" s="2" t="s">
        <v>114</v>
      </c>
      <c r="Q6" s="2" t="s">
        <v>84</v>
      </c>
      <c r="S6" s="10" t="s">
        <v>160</v>
      </c>
      <c r="T6" s="10">
        <v>3412</v>
      </c>
      <c r="V6" s="10" t="s">
        <v>84</v>
      </c>
      <c r="W6" s="10">
        <v>0</v>
      </c>
    </row>
    <row r="7" spans="2:23" x14ac:dyDescent="0.35">
      <c r="B7" s="31" t="s">
        <v>14</v>
      </c>
      <c r="C7" s="6" t="str">
        <f>'Calculator '!G6</f>
        <v>No</v>
      </c>
      <c r="J7" s="7" t="s">
        <v>161</v>
      </c>
      <c r="K7" s="46">
        <v>0.8</v>
      </c>
      <c r="M7" s="2" t="s">
        <v>138</v>
      </c>
      <c r="N7" s="10">
        <f>9.5/3.412</f>
        <v>2.7842907385697537</v>
      </c>
      <c r="O7" s="10">
        <v>2.7</v>
      </c>
      <c r="P7" s="10">
        <v>2.6</v>
      </c>
      <c r="Q7" s="10">
        <v>2.5</v>
      </c>
      <c r="S7" s="7" t="s">
        <v>162</v>
      </c>
      <c r="T7" s="7">
        <f>10^5</f>
        <v>100000</v>
      </c>
      <c r="V7" s="7" t="s">
        <v>114</v>
      </c>
      <c r="W7" s="7">
        <v>2.0127883217614946E-2</v>
      </c>
    </row>
    <row r="8" spans="2:23" x14ac:dyDescent="0.35">
      <c r="B8" s="31" t="s">
        <v>17</v>
      </c>
      <c r="C8" s="6">
        <f>'Calculator '!G7</f>
        <v>0</v>
      </c>
      <c r="J8" s="10" t="s">
        <v>71</v>
      </c>
      <c r="K8" s="45">
        <v>0.9</v>
      </c>
      <c r="M8" s="2" t="s">
        <v>142</v>
      </c>
      <c r="N8" s="7">
        <v>3.3</v>
      </c>
      <c r="O8" s="7">
        <v>3.1</v>
      </c>
      <c r="P8" s="7">
        <v>2.9</v>
      </c>
      <c r="Q8" s="7">
        <v>2.7</v>
      </c>
      <c r="S8" s="10" t="s">
        <v>72</v>
      </c>
      <c r="T8" s="10">
        <v>138000</v>
      </c>
      <c r="V8" s="10" t="s">
        <v>117</v>
      </c>
      <c r="W8" s="10">
        <v>0.11489158390175966</v>
      </c>
    </row>
    <row r="9" spans="2:23" x14ac:dyDescent="0.35">
      <c r="B9" s="31" t="s">
        <v>18</v>
      </c>
      <c r="C9" s="6" t="str">
        <f>'Calculator '!C8</f>
        <v>Oil</v>
      </c>
      <c r="D9" s="6">
        <f>VLOOKUP(C9,S6:T9,2,FALSE)</f>
        <v>138000</v>
      </c>
      <c r="J9" s="7" t="s">
        <v>163</v>
      </c>
      <c r="K9" s="46">
        <v>0.8</v>
      </c>
      <c r="M9" s="2" t="s">
        <v>82</v>
      </c>
      <c r="N9" s="10">
        <v>3.5</v>
      </c>
      <c r="O9" s="10">
        <v>3.5</v>
      </c>
      <c r="P9" s="10">
        <v>3.5</v>
      </c>
      <c r="Q9" s="10">
        <v>3.5</v>
      </c>
      <c r="S9" s="7" t="s">
        <v>164</v>
      </c>
      <c r="T9" s="7">
        <v>92000</v>
      </c>
      <c r="V9" s="7" t="s">
        <v>120</v>
      </c>
      <c r="W9" s="7">
        <v>0.46977259558203127</v>
      </c>
    </row>
    <row r="10" spans="2:23" x14ac:dyDescent="0.35">
      <c r="B10" s="31" t="s">
        <v>15</v>
      </c>
      <c r="C10" s="6" t="str">
        <f>'Calculator '!C7</f>
        <v>Condensing Boilers</v>
      </c>
      <c r="D10" s="49">
        <f>VLOOKUP(C10,J6:K11,2,FALSE)</f>
        <v>0.9</v>
      </c>
      <c r="J10" s="10" t="s">
        <v>165</v>
      </c>
      <c r="K10" s="45">
        <v>0.9</v>
      </c>
    </row>
    <row r="11" spans="2:23" x14ac:dyDescent="0.35">
      <c r="B11" s="31" t="s">
        <v>19</v>
      </c>
      <c r="C11" s="6">
        <f>'Calculator '!G8</f>
        <v>1000</v>
      </c>
      <c r="D11" s="6" t="str">
        <f>'Calculator '!H8</f>
        <v>Gallons</v>
      </c>
      <c r="J11" s="7" t="s">
        <v>160</v>
      </c>
      <c r="K11" s="46">
        <v>1</v>
      </c>
      <c r="M11" s="2" t="s">
        <v>166</v>
      </c>
      <c r="N11" s="6">
        <f>MATCH(C12,M7:M9,0)</f>
        <v>2</v>
      </c>
    </row>
    <row r="12" spans="2:23" x14ac:dyDescent="0.35">
      <c r="B12" s="31" t="s">
        <v>26</v>
      </c>
      <c r="C12" s="6" t="str">
        <f>'Calculator '!C14</f>
        <v>VRF</v>
      </c>
      <c r="D12" s="6">
        <f>N13</f>
        <v>2.7</v>
      </c>
      <c r="M12" s="2" t="s">
        <v>167</v>
      </c>
      <c r="N12" s="6">
        <f>MATCH(C13,N6:Q6,0)</f>
        <v>4</v>
      </c>
    </row>
    <row r="13" spans="2:23" x14ac:dyDescent="0.35">
      <c r="B13" s="40" t="s">
        <v>27</v>
      </c>
      <c r="C13" s="6" t="str">
        <f>'Calculator '!C15</f>
        <v>Full displacement</v>
      </c>
      <c r="M13" s="2" t="s">
        <v>168</v>
      </c>
      <c r="N13" s="5" cm="1">
        <f t="array" ref="N13">INDEX(N7:Q9,N11,N12)</f>
        <v>2.7</v>
      </c>
    </row>
    <row r="14" spans="2:23" x14ac:dyDescent="0.35">
      <c r="B14" s="31" t="s">
        <v>169</v>
      </c>
      <c r="C14" s="6" t="e">
        <f>'Calculator '!C6/'Calculator '!C5</f>
        <v>#DIV/0!</v>
      </c>
    </row>
    <row r="15" spans="2:23" x14ac:dyDescent="0.35">
      <c r="B15" s="31"/>
    </row>
    <row r="16" spans="2:23" x14ac:dyDescent="0.35">
      <c r="B16" s="31" t="s">
        <v>170</v>
      </c>
      <c r="C16" s="50" t="e">
        <f>IF(C6="no",(C11-C8)*C14,(C11-C8)*0.65*C14)</f>
        <v>#DIV/0!</v>
      </c>
      <c r="D16" s="6" t="str">
        <f>'Calculator '!H12</f>
        <v>Gallon</v>
      </c>
    </row>
    <row r="17" spans="2:6" x14ac:dyDescent="0.35">
      <c r="B17" s="31" t="s">
        <v>171</v>
      </c>
      <c r="C17" s="50" t="e">
        <f>C16*D9*D10</f>
        <v>#DIV/0!</v>
      </c>
      <c r="D17" t="s">
        <v>151</v>
      </c>
    </row>
    <row r="18" spans="2:6" x14ac:dyDescent="0.35">
      <c r="B18" s="31" t="s">
        <v>172</v>
      </c>
      <c r="C18" s="50" t="e">
        <f>C17/D12/3412</f>
        <v>#DIV/0!</v>
      </c>
      <c r="D18" t="s">
        <v>95</v>
      </c>
      <c r="F18" s="39"/>
    </row>
    <row r="20" spans="2:6" x14ac:dyDescent="0.35">
      <c r="B20" s="35" t="s">
        <v>74</v>
      </c>
      <c r="C20" s="2" t="s">
        <v>173</v>
      </c>
      <c r="D20" s="2" t="s">
        <v>76</v>
      </c>
    </row>
    <row r="21" spans="2:6" x14ac:dyDescent="0.35">
      <c r="B21" s="31" t="s">
        <v>79</v>
      </c>
      <c r="C21" s="50">
        <f>'Calculator '!G11</f>
        <v>500</v>
      </c>
      <c r="D21" s="6" t="str">
        <f>'Calculator '!H11</f>
        <v>Gallon</v>
      </c>
    </row>
    <row r="22" spans="2:6" x14ac:dyDescent="0.35">
      <c r="B22" s="31" t="s">
        <v>80</v>
      </c>
      <c r="C22" s="50">
        <f>'Calculator '!G12</f>
        <v>400</v>
      </c>
      <c r="D22" s="6" t="str">
        <f>'Calculator '!H12</f>
        <v>Gallon</v>
      </c>
    </row>
    <row r="23" spans="2:6" x14ac:dyDescent="0.35">
      <c r="B23" s="31" t="s">
        <v>81</v>
      </c>
      <c r="C23" s="50">
        <f>'Calculator '!G13</f>
        <v>300</v>
      </c>
      <c r="D23" s="6" t="str">
        <f>'Calculator '!H13</f>
        <v>Gallon</v>
      </c>
    </row>
    <row r="24" spans="2:6" x14ac:dyDescent="0.35">
      <c r="B24" s="31" t="s">
        <v>83</v>
      </c>
      <c r="C24" s="50">
        <f>'Calculator '!G14</f>
        <v>200</v>
      </c>
      <c r="D24" s="6" t="str">
        <f>'Calculator '!H14</f>
        <v>Gallon</v>
      </c>
    </row>
    <row r="25" spans="2:6" x14ac:dyDescent="0.35">
      <c r="B25" s="31" t="s">
        <v>85</v>
      </c>
      <c r="C25" s="50">
        <f>'Calculator '!G15</f>
        <v>0</v>
      </c>
      <c r="D25" s="6" t="str">
        <f>'Calculator '!H15</f>
        <v>Gallon</v>
      </c>
    </row>
    <row r="26" spans="2:6" x14ac:dyDescent="0.35">
      <c r="B26" s="31" t="s">
        <v>86</v>
      </c>
      <c r="C26" s="50">
        <f>'Calculator '!G16</f>
        <v>0</v>
      </c>
      <c r="D26" s="6" t="str">
        <f>'Calculator '!H16</f>
        <v>Gallon</v>
      </c>
    </row>
    <row r="27" spans="2:6" x14ac:dyDescent="0.35">
      <c r="B27" s="31" t="s">
        <v>88</v>
      </c>
      <c r="C27" s="50">
        <f>'Calculator '!G17</f>
        <v>0</v>
      </c>
      <c r="D27" s="6" t="str">
        <f>'Calculator '!H17</f>
        <v>Gallon</v>
      </c>
    </row>
    <row r="28" spans="2:6" x14ac:dyDescent="0.35">
      <c r="B28" s="31" t="s">
        <v>89</v>
      </c>
      <c r="C28" s="50">
        <f>'Calculator '!G18</f>
        <v>200</v>
      </c>
      <c r="D28" s="6" t="str">
        <f>'Calculator '!H18</f>
        <v>Gallon</v>
      </c>
    </row>
    <row r="29" spans="2:6" x14ac:dyDescent="0.35">
      <c r="B29" s="31" t="s">
        <v>90</v>
      </c>
      <c r="C29" s="50">
        <f>'Calculator '!G19</f>
        <v>300</v>
      </c>
      <c r="D29" s="6" t="str">
        <f>'Calculator '!H19</f>
        <v>Gallon</v>
      </c>
    </row>
    <row r="30" spans="2:6" x14ac:dyDescent="0.35">
      <c r="B30" s="31" t="s">
        <v>91</v>
      </c>
      <c r="C30" s="50">
        <f>'Calculator '!G20</f>
        <v>400</v>
      </c>
      <c r="D30" s="6" t="str">
        <f>'Calculator '!H20</f>
        <v>Gallon</v>
      </c>
    </row>
    <row r="31" spans="2:6" x14ac:dyDescent="0.35">
      <c r="B31" s="31" t="s">
        <v>92</v>
      </c>
      <c r="C31" s="50">
        <f>'Calculator '!G21</f>
        <v>500</v>
      </c>
      <c r="D31" s="6" t="str">
        <f>'Calculator '!H21</f>
        <v>Gallon</v>
      </c>
    </row>
    <row r="32" spans="2:6" x14ac:dyDescent="0.35">
      <c r="B32" s="31" t="s">
        <v>93</v>
      </c>
      <c r="C32" s="50">
        <f>'Calculator '!G22</f>
        <v>600</v>
      </c>
      <c r="D32" s="6" t="str">
        <f>'Calculator '!H22</f>
        <v>Gallon</v>
      </c>
    </row>
    <row r="34" spans="2:6" x14ac:dyDescent="0.35">
      <c r="B34" s="31" t="s">
        <v>19</v>
      </c>
      <c r="C34" s="50">
        <f>SUM(C21:C32)-AVERAGE(C26:C28)*12</f>
        <v>2600</v>
      </c>
      <c r="D34" s="6" t="str">
        <f>D32</f>
        <v>Gallon</v>
      </c>
    </row>
    <row r="35" spans="2:6" x14ac:dyDescent="0.35">
      <c r="B35" s="31" t="s">
        <v>171</v>
      </c>
      <c r="C35" s="50" t="e">
        <f>(C34)*D9*D10*C14</f>
        <v>#DIV/0!</v>
      </c>
      <c r="D35" t="s">
        <v>174</v>
      </c>
    </row>
    <row r="36" spans="2:6" x14ac:dyDescent="0.35">
      <c r="B36" s="31" t="s">
        <v>172</v>
      </c>
      <c r="C36" s="50" t="e">
        <f>C35/D12/3412</f>
        <v>#DIV/0!</v>
      </c>
      <c r="D36" t="s">
        <v>95</v>
      </c>
      <c r="F36" s="39"/>
    </row>
    <row r="37" spans="2:6" x14ac:dyDescent="0.35">
      <c r="B37" s="31" t="s">
        <v>175</v>
      </c>
      <c r="C37" s="50">
        <f>1-VLOOKUP(C13,V6:W9,2,FALSE)</f>
        <v>1</v>
      </c>
    </row>
    <row r="38" spans="2:6" x14ac:dyDescent="0.35">
      <c r="B38" s="31" t="s">
        <v>176</v>
      </c>
      <c r="C38" s="50" t="e">
        <f>C36*3412</f>
        <v>#DIV/0!</v>
      </c>
      <c r="D38" t="s">
        <v>174</v>
      </c>
    </row>
    <row r="41" spans="2:6" x14ac:dyDescent="0.35">
      <c r="B41" s="31" t="s">
        <v>149</v>
      </c>
      <c r="C41" s="50" t="e">
        <f>IF(C5="Yearly",C16*C37,C34*C37)</f>
        <v>#DIV/0!</v>
      </c>
      <c r="D41" t="str">
        <f>D11</f>
        <v>Gallons</v>
      </c>
    </row>
    <row r="42" spans="2:6" x14ac:dyDescent="0.35">
      <c r="B42" s="31" t="s">
        <v>39</v>
      </c>
      <c r="C42" s="50" t="e">
        <f>IF(C5="Yearly",C18*C37,C36*C37)</f>
        <v>#DIV/0!</v>
      </c>
      <c r="D42" t="s">
        <v>95</v>
      </c>
    </row>
    <row r="43" spans="2:6" x14ac:dyDescent="0.35">
      <c r="B43" s="31" t="s">
        <v>177</v>
      </c>
      <c r="C43" s="38" t="e">
        <f>IF(C5="Yearly",C16*G6,C34*G6)</f>
        <v>#DIV/0!</v>
      </c>
    </row>
    <row r="44" spans="2:6" x14ac:dyDescent="0.35">
      <c r="B44" s="31" t="s">
        <v>178</v>
      </c>
      <c r="C44" s="38" t="e">
        <f>IF(C5="Yearly",C18*'Calculator '!C11,C36*'Calculator '!C11)</f>
        <v>#DIV/0!</v>
      </c>
    </row>
  </sheetData>
  <mergeCells count="2">
    <mergeCell ref="B2:H2"/>
    <mergeCell ref="J2:W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C2A056E-FD2B-4EE7-B3B0-D4FD3042DE12}">
          <x14:formula1>
            <xm:f>Lists!$G$3:$G$4</xm:f>
          </x14:formula1>
          <xm:sqref>C5</xm:sqref>
        </x14:dataValidation>
        <x14:dataValidation type="list" allowBlank="1" showInputMessage="1" showErrorMessage="1" xr:uid="{BDF62C21-1EED-453D-8C3E-B5E0567B3EA2}">
          <x14:formula1>
            <xm:f>Lists!$J$3:$J$4</xm:f>
          </x14:formula1>
          <xm:sqref>C6:C7</xm:sqref>
        </x14:dataValidation>
        <x14:dataValidation type="list" allowBlank="1" showInputMessage="1" showErrorMessage="1" xr:uid="{034DA63C-9674-41F0-9075-793EE4255AF3}">
          <x14:formula1>
            <xm:f>Lists!$C$3:$C$8</xm:f>
          </x14:formula1>
          <xm:sqref>C10</xm:sqref>
        </x14:dataValidation>
        <x14:dataValidation type="list" allowBlank="1" showInputMessage="1" showErrorMessage="1" xr:uid="{3720AF7C-DFD8-4386-8A98-FC473339F2E7}">
          <x14:formula1>
            <xm:f>Lists!$K$3:$K$6</xm:f>
          </x14:formula1>
          <xm:sqref>C13</xm:sqref>
        </x14:dataValidation>
        <x14:dataValidation type="list" allowBlank="1" showInputMessage="1" showErrorMessage="1" xr:uid="{BA14959B-3990-490D-B7D6-2C6582652901}">
          <x14:formula1>
            <xm:f>Lists!$I$3:$I$5</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D611-7D5F-46FB-9832-37FCAA1EB5E2}">
  <dimension ref="B2:F9"/>
  <sheetViews>
    <sheetView workbookViewId="0">
      <selection activeCell="F12" sqref="F12"/>
    </sheetView>
  </sheetViews>
  <sheetFormatPr defaultRowHeight="14.5" x14ac:dyDescent="0.35"/>
  <cols>
    <col min="3" max="3" width="31.1796875" bestFit="1" customWidth="1"/>
    <col min="5" max="5" width="15.54296875" bestFit="1" customWidth="1"/>
    <col min="6" max="6" width="11.1796875" bestFit="1" customWidth="1"/>
  </cols>
  <sheetData>
    <row r="2" spans="2:6" x14ac:dyDescent="0.35">
      <c r="B2" s="178" t="s">
        <v>179</v>
      </c>
      <c r="C2" s="179"/>
      <c r="D2" s="179"/>
      <c r="E2" s="179"/>
      <c r="F2" s="179"/>
    </row>
    <row r="4" spans="2:6" x14ac:dyDescent="0.35">
      <c r="E4" s="2" t="s">
        <v>180</v>
      </c>
      <c r="F4" s="2" t="s">
        <v>181</v>
      </c>
    </row>
    <row r="5" spans="2:6" x14ac:dyDescent="0.35">
      <c r="B5" s="31" t="s">
        <v>26</v>
      </c>
      <c r="C5" s="6" t="str">
        <f>'Calculator '!C14</f>
        <v>VRF</v>
      </c>
      <c r="E5" s="10" t="s">
        <v>138</v>
      </c>
      <c r="F5" s="51">
        <v>7500</v>
      </c>
    </row>
    <row r="6" spans="2:6" x14ac:dyDescent="0.35">
      <c r="B6" s="31" t="s">
        <v>29</v>
      </c>
      <c r="C6" s="6">
        <f>'Calculator '!C19</f>
        <v>3</v>
      </c>
      <c r="D6" t="s">
        <v>87</v>
      </c>
      <c r="E6" s="7" t="s">
        <v>142</v>
      </c>
      <c r="F6" s="52">
        <v>16000</v>
      </c>
    </row>
    <row r="7" spans="2:6" x14ac:dyDescent="0.35">
      <c r="B7" t="s">
        <v>182</v>
      </c>
      <c r="C7" s="6">
        <f>VLOOKUP(C5,E5:F7,2,FALSE)</f>
        <v>16000</v>
      </c>
      <c r="E7" s="10" t="s">
        <v>82</v>
      </c>
      <c r="F7" s="51">
        <v>23000</v>
      </c>
    </row>
    <row r="9" spans="2:6" x14ac:dyDescent="0.35">
      <c r="B9" s="31" t="s">
        <v>179</v>
      </c>
      <c r="C9" s="38">
        <f>C6*C7</f>
        <v>48000</v>
      </c>
    </row>
  </sheetData>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6A106D-144A-4274-829C-EFA3EB019886}">
          <x14:formula1>
            <xm:f>Lists!$I$3:$I$5</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FC1D-9BBC-41F3-9945-5E58970728A7}">
  <dimension ref="B2:N8"/>
  <sheetViews>
    <sheetView workbookViewId="0">
      <selection activeCell="F24" sqref="F24"/>
    </sheetView>
  </sheetViews>
  <sheetFormatPr defaultRowHeight="14.5" x14ac:dyDescent="0.35"/>
  <cols>
    <col min="3" max="3" width="11.26953125" customWidth="1"/>
    <col min="4" max="4" width="18.26953125" bestFit="1" customWidth="1"/>
    <col min="6" max="6" width="18.54296875" bestFit="1" customWidth="1"/>
    <col min="7" max="7" width="1.81640625" bestFit="1" customWidth="1"/>
    <col min="8" max="8" width="6.453125" bestFit="1" customWidth="1"/>
    <col min="9" max="9" width="11.81640625" bestFit="1" customWidth="1"/>
    <col min="10" max="10" width="11.1796875" bestFit="1" customWidth="1"/>
    <col min="11" max="11" width="4.1796875" bestFit="1" customWidth="1"/>
    <col min="12" max="12" width="70.1796875" bestFit="1" customWidth="1"/>
  </cols>
  <sheetData>
    <row r="2" spans="2:14" x14ac:dyDescent="0.35">
      <c r="B2" s="178" t="s">
        <v>183</v>
      </c>
      <c r="C2" s="179"/>
      <c r="D2" s="179"/>
      <c r="F2" s="178" t="s">
        <v>184</v>
      </c>
      <c r="G2" s="179"/>
      <c r="H2" s="179"/>
      <c r="I2" s="179"/>
      <c r="J2" s="179"/>
      <c r="K2" s="179"/>
      <c r="L2" s="179"/>
    </row>
    <row r="4" spans="2:14" x14ac:dyDescent="0.35">
      <c r="B4" t="s">
        <v>156</v>
      </c>
      <c r="C4" s="6" t="str">
        <f>'Calculator '!C8</f>
        <v>Oil</v>
      </c>
      <c r="F4" s="10" t="s">
        <v>162</v>
      </c>
      <c r="G4" s="10">
        <v>1</v>
      </c>
      <c r="H4" s="10" t="s">
        <v>185</v>
      </c>
      <c r="I4" s="10">
        <v>5.0000000000000001E-3</v>
      </c>
      <c r="J4" s="10" t="s">
        <v>186</v>
      </c>
      <c r="K4" s="10" t="s">
        <v>187</v>
      </c>
      <c r="L4" t="s">
        <v>188</v>
      </c>
    </row>
    <row r="5" spans="2:14" x14ac:dyDescent="0.35">
      <c r="B5" t="s">
        <v>189</v>
      </c>
      <c r="C5" s="6" t="e">
        <f>'Calculator '!C28</f>
        <v>#DIV/0!</v>
      </c>
      <c r="D5" s="6" t="str">
        <f>IF($C$4="propane","Gallon",IF($C$4="Oil","Gallon",IF($C$4="Natural Gas","Therm","kWh")))</f>
        <v>Gallon</v>
      </c>
      <c r="F5" s="7" t="s">
        <v>160</v>
      </c>
      <c r="G5" s="7">
        <v>1</v>
      </c>
      <c r="H5" s="7" t="s">
        <v>95</v>
      </c>
      <c r="I5" s="7">
        <v>4.0000000000000002E-4</v>
      </c>
      <c r="J5" s="7" t="s">
        <v>186</v>
      </c>
      <c r="K5" s="7" t="s">
        <v>187</v>
      </c>
    </row>
    <row r="6" spans="2:14" x14ac:dyDescent="0.35">
      <c r="B6" t="str">
        <f>'Calculator '!B29</f>
        <v>Heat Pump Electric Usage</v>
      </c>
      <c r="C6" s="6" t="e">
        <f>'Calculator '!C29</f>
        <v>#DIV/0!</v>
      </c>
      <c r="D6" t="s">
        <v>95</v>
      </c>
      <c r="F6" s="10" t="s">
        <v>72</v>
      </c>
      <c r="G6" s="10">
        <v>1</v>
      </c>
      <c r="H6" s="10" t="s">
        <v>190</v>
      </c>
      <c r="I6" s="10">
        <f>10.18*10^-3</f>
        <v>1.018E-2</v>
      </c>
      <c r="J6" s="10" t="s">
        <v>186</v>
      </c>
      <c r="K6" s="10" t="s">
        <v>187</v>
      </c>
      <c r="N6" t="s">
        <v>191</v>
      </c>
    </row>
    <row r="7" spans="2:14" x14ac:dyDescent="0.35">
      <c r="F7" s="7" t="s">
        <v>164</v>
      </c>
      <c r="G7" s="7">
        <v>1</v>
      </c>
      <c r="H7" s="7" t="s">
        <v>190</v>
      </c>
      <c r="I7" s="7">
        <f>0.024/4.28</f>
        <v>5.6074766355140183E-3</v>
      </c>
      <c r="J7" s="7" t="s">
        <v>186</v>
      </c>
      <c r="K7" s="7" t="s">
        <v>187</v>
      </c>
      <c r="L7" t="s">
        <v>192</v>
      </c>
    </row>
    <row r="8" spans="2:14" x14ac:dyDescent="0.35">
      <c r="B8" s="31" t="s">
        <v>193</v>
      </c>
      <c r="C8" s="5" t="e">
        <f>VLOOKUP(C4,F4:I7,4,FALSE)*C5-C6*I5</f>
        <v>#DIV/0!</v>
      </c>
      <c r="D8" t="s">
        <v>96</v>
      </c>
    </row>
  </sheetData>
  <mergeCells count="2">
    <mergeCell ref="B2:D2"/>
    <mergeCell ref="F2:L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2BC2-C01C-4A5E-8B99-FB0336A6F882}">
  <dimension ref="B2:G11"/>
  <sheetViews>
    <sheetView workbookViewId="0">
      <selection activeCell="G14" sqref="G14"/>
    </sheetView>
  </sheetViews>
  <sheetFormatPr defaultRowHeight="14.5" x14ac:dyDescent="0.35"/>
  <cols>
    <col min="2" max="2" width="16.1796875" bestFit="1" customWidth="1"/>
    <col min="3" max="3" width="13.1796875" bestFit="1" customWidth="1"/>
    <col min="5" max="5" width="4.1796875" customWidth="1"/>
    <col min="6" max="6" width="15.54296875" bestFit="1" customWidth="1"/>
    <col min="7" max="7" width="13.7265625" bestFit="1" customWidth="1"/>
  </cols>
  <sheetData>
    <row r="2" spans="2:7" x14ac:dyDescent="0.35">
      <c r="B2" s="178" t="s">
        <v>194</v>
      </c>
      <c r="C2" s="179"/>
      <c r="D2" s="179"/>
      <c r="E2" s="179"/>
      <c r="F2" s="179"/>
      <c r="G2" s="179"/>
    </row>
    <row r="4" spans="2:7" x14ac:dyDescent="0.35">
      <c r="F4" s="2" t="s">
        <v>180</v>
      </c>
      <c r="G4" s="2" t="s">
        <v>195</v>
      </c>
    </row>
    <row r="5" spans="2:7" x14ac:dyDescent="0.35">
      <c r="B5" s="31" t="s">
        <v>26</v>
      </c>
      <c r="C5" s="6" t="str">
        <f>'Calculator '!C14</f>
        <v>VRF</v>
      </c>
      <c r="F5" s="10" t="s">
        <v>138</v>
      </c>
      <c r="G5" s="53">
        <v>2500</v>
      </c>
    </row>
    <row r="6" spans="2:7" x14ac:dyDescent="0.35">
      <c r="B6" s="31" t="s">
        <v>28</v>
      </c>
      <c r="C6" s="6">
        <f>'Calculator '!C17</f>
        <v>0</v>
      </c>
      <c r="D6" t="s">
        <v>87</v>
      </c>
      <c r="F6" s="7" t="s">
        <v>142</v>
      </c>
      <c r="G6" s="54">
        <v>3500</v>
      </c>
    </row>
    <row r="7" spans="2:7" x14ac:dyDescent="0.35">
      <c r="F7" s="10" t="s">
        <v>82</v>
      </c>
      <c r="G7" s="53">
        <v>4500</v>
      </c>
    </row>
    <row r="8" spans="2:7" x14ac:dyDescent="0.35">
      <c r="B8" s="31" t="s">
        <v>29</v>
      </c>
      <c r="C8" s="6">
        <f>'Calculator '!C19</f>
        <v>3</v>
      </c>
      <c r="D8" t="s">
        <v>87</v>
      </c>
    </row>
    <row r="10" spans="2:7" x14ac:dyDescent="0.35">
      <c r="B10" s="31" t="s">
        <v>196</v>
      </c>
      <c r="C10" s="55">
        <f>VLOOKUP(C5,F5:G7,2,FALSE)*C8</f>
        <v>10500</v>
      </c>
    </row>
    <row r="11" spans="2:7" x14ac:dyDescent="0.35">
      <c r="C11" s="37"/>
    </row>
  </sheetData>
  <mergeCells count="1">
    <mergeCell ref="B2:G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AE8CA9-47F5-4D2F-A80F-06134E3808A2}">
          <x14:formula1>
            <xm:f>Lists!$I$3:$I$5</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32BC-F326-4F7F-B269-2559CD3C1E4A}">
  <dimension ref="B2:M38"/>
  <sheetViews>
    <sheetView zoomScale="70" zoomScaleNormal="70" workbookViewId="0">
      <selection activeCell="E11" sqref="E11"/>
    </sheetView>
  </sheetViews>
  <sheetFormatPr defaultRowHeight="14.5" x14ac:dyDescent="0.35"/>
  <cols>
    <col min="2" max="2" width="31.453125" bestFit="1" customWidth="1"/>
    <col min="3" max="3" width="21.81640625" bestFit="1" customWidth="1"/>
    <col min="4" max="4" width="25.1796875" bestFit="1" customWidth="1"/>
    <col min="5" max="5" width="20.81640625" bestFit="1" customWidth="1"/>
    <col min="6" max="6" width="16.453125" bestFit="1" customWidth="1"/>
    <col min="7" max="7" width="11.54296875" bestFit="1" customWidth="1"/>
    <col min="8" max="8" width="50.54296875" bestFit="1" customWidth="1"/>
    <col min="9" max="9" width="50.54296875" customWidth="1"/>
  </cols>
  <sheetData>
    <row r="2" spans="2:13" ht="15" thickBot="1" x14ac:dyDescent="0.4">
      <c r="B2" s="32" t="s">
        <v>9</v>
      </c>
      <c r="C2" s="32" t="s">
        <v>15</v>
      </c>
      <c r="D2" s="32" t="s">
        <v>18</v>
      </c>
      <c r="E2" s="32" t="s">
        <v>21</v>
      </c>
      <c r="F2" s="32" t="s">
        <v>24</v>
      </c>
      <c r="G2" s="32" t="s">
        <v>67</v>
      </c>
      <c r="H2" s="32" t="s">
        <v>26</v>
      </c>
      <c r="I2" s="32"/>
      <c r="J2" s="32" t="s">
        <v>197</v>
      </c>
      <c r="K2" s="32" t="s">
        <v>109</v>
      </c>
      <c r="L2" s="32" t="s">
        <v>198</v>
      </c>
      <c r="M2" s="32" t="s">
        <v>199</v>
      </c>
    </row>
    <row r="3" spans="2:13" ht="15" thickBot="1" x14ac:dyDescent="0.4">
      <c r="B3" t="s">
        <v>124</v>
      </c>
      <c r="C3" t="s">
        <v>161</v>
      </c>
      <c r="D3" t="s">
        <v>160</v>
      </c>
      <c r="E3" t="s">
        <v>139</v>
      </c>
      <c r="F3" t="s">
        <v>200</v>
      </c>
      <c r="G3" t="s">
        <v>22</v>
      </c>
      <c r="H3" t="s">
        <v>138</v>
      </c>
      <c r="I3" t="s">
        <v>201</v>
      </c>
      <c r="J3" t="s">
        <v>202</v>
      </c>
      <c r="K3" t="s">
        <v>114</v>
      </c>
      <c r="L3" s="33" t="s">
        <v>203</v>
      </c>
      <c r="M3">
        <f>IF('Calculator '!C8=Lists!D3,1,0)</f>
        <v>0</v>
      </c>
    </row>
    <row r="4" spans="2:13" ht="15" thickBot="1" x14ac:dyDescent="0.4">
      <c r="B4" t="s">
        <v>113</v>
      </c>
      <c r="C4" t="s">
        <v>71</v>
      </c>
      <c r="D4" t="s">
        <v>162</v>
      </c>
      <c r="E4" t="s">
        <v>143</v>
      </c>
      <c r="F4" t="s">
        <v>204</v>
      </c>
      <c r="G4" t="s">
        <v>19</v>
      </c>
      <c r="H4" t="s">
        <v>142</v>
      </c>
      <c r="I4" t="s">
        <v>205</v>
      </c>
      <c r="J4" t="s">
        <v>69</v>
      </c>
      <c r="K4" t="s">
        <v>117</v>
      </c>
      <c r="L4" s="34" t="s">
        <v>206</v>
      </c>
    </row>
    <row r="5" spans="2:13" ht="15" thickBot="1" x14ac:dyDescent="0.4">
      <c r="B5" t="s">
        <v>126</v>
      </c>
      <c r="C5" t="s">
        <v>165</v>
      </c>
      <c r="D5" t="s">
        <v>72</v>
      </c>
      <c r="E5" t="s">
        <v>145</v>
      </c>
      <c r="H5" t="s">
        <v>82</v>
      </c>
      <c r="I5" t="s">
        <v>207</v>
      </c>
      <c r="K5" t="s">
        <v>120</v>
      </c>
      <c r="L5" s="34" t="s">
        <v>208</v>
      </c>
    </row>
    <row r="6" spans="2:13" ht="15" thickBot="1" x14ac:dyDescent="0.4">
      <c r="B6" t="s">
        <v>66</v>
      </c>
      <c r="C6" t="s">
        <v>160</v>
      </c>
      <c r="D6" t="s">
        <v>164</v>
      </c>
      <c r="E6" t="s">
        <v>146</v>
      </c>
      <c r="K6" t="s">
        <v>84</v>
      </c>
      <c r="L6" s="34" t="s">
        <v>66</v>
      </c>
    </row>
    <row r="7" spans="2:13" ht="15" thickBot="1" x14ac:dyDescent="0.4">
      <c r="B7" t="s">
        <v>125</v>
      </c>
      <c r="C7" t="s">
        <v>163</v>
      </c>
      <c r="E7" t="s">
        <v>73</v>
      </c>
      <c r="L7" s="34" t="s">
        <v>209</v>
      </c>
    </row>
    <row r="8" spans="2:13" ht="15" thickBot="1" x14ac:dyDescent="0.4">
      <c r="B8" t="s">
        <v>119</v>
      </c>
      <c r="C8" t="s">
        <v>159</v>
      </c>
      <c r="L8" s="34" t="s">
        <v>210</v>
      </c>
    </row>
    <row r="9" spans="2:13" ht="15" thickBot="1" x14ac:dyDescent="0.4">
      <c r="B9" t="s">
        <v>122</v>
      </c>
      <c r="L9" s="34" t="s">
        <v>211</v>
      </c>
    </row>
    <row r="10" spans="2:13" ht="15" thickBot="1" x14ac:dyDescent="0.4">
      <c r="B10" t="s">
        <v>212</v>
      </c>
      <c r="L10" s="34" t="s">
        <v>213</v>
      </c>
    </row>
    <row r="11" spans="2:13" ht="15" thickBot="1" x14ac:dyDescent="0.4">
      <c r="B11" t="s">
        <v>116</v>
      </c>
      <c r="L11" s="34" t="s">
        <v>214</v>
      </c>
    </row>
    <row r="12" spans="2:13" ht="15" thickBot="1" x14ac:dyDescent="0.4">
      <c r="L12" s="34" t="s">
        <v>215</v>
      </c>
    </row>
    <row r="13" spans="2:13" ht="15" thickBot="1" x14ac:dyDescent="0.4">
      <c r="L13" s="34" t="s">
        <v>216</v>
      </c>
    </row>
    <row r="14" spans="2:13" ht="15" thickBot="1" x14ac:dyDescent="0.4">
      <c r="L14" s="34" t="s">
        <v>217</v>
      </c>
    </row>
    <row r="15" spans="2:13" ht="15" thickBot="1" x14ac:dyDescent="0.4">
      <c r="L15" s="34" t="s">
        <v>218</v>
      </c>
    </row>
    <row r="16" spans="2:13" ht="15" thickBot="1" x14ac:dyDescent="0.4">
      <c r="L16" s="34" t="s">
        <v>219</v>
      </c>
    </row>
    <row r="17" spans="12:12" ht="15" thickBot="1" x14ac:dyDescent="0.4">
      <c r="L17" s="34" t="s">
        <v>220</v>
      </c>
    </row>
    <row r="18" spans="12:12" ht="15" thickBot="1" x14ac:dyDescent="0.4">
      <c r="L18" s="34" t="s">
        <v>221</v>
      </c>
    </row>
    <row r="19" spans="12:12" ht="15" thickBot="1" x14ac:dyDescent="0.4">
      <c r="L19" s="34" t="s">
        <v>222</v>
      </c>
    </row>
    <row r="20" spans="12:12" ht="15" thickBot="1" x14ac:dyDescent="0.4">
      <c r="L20" s="34" t="s">
        <v>223</v>
      </c>
    </row>
    <row r="21" spans="12:12" ht="15" thickBot="1" x14ac:dyDescent="0.4">
      <c r="L21" s="34" t="s">
        <v>224</v>
      </c>
    </row>
    <row r="22" spans="12:12" ht="15" thickBot="1" x14ac:dyDescent="0.4">
      <c r="L22" s="34" t="s">
        <v>225</v>
      </c>
    </row>
    <row r="23" spans="12:12" ht="15" thickBot="1" x14ac:dyDescent="0.4">
      <c r="L23" s="34" t="s">
        <v>226</v>
      </c>
    </row>
    <row r="24" spans="12:12" ht="15" thickBot="1" x14ac:dyDescent="0.4">
      <c r="L24" s="34" t="s">
        <v>227</v>
      </c>
    </row>
    <row r="25" spans="12:12" ht="15" thickBot="1" x14ac:dyDescent="0.4">
      <c r="L25" s="34" t="s">
        <v>228</v>
      </c>
    </row>
    <row r="26" spans="12:12" ht="15" thickBot="1" x14ac:dyDescent="0.4">
      <c r="L26" s="34" t="s">
        <v>229</v>
      </c>
    </row>
    <row r="27" spans="12:12" ht="15" thickBot="1" x14ac:dyDescent="0.4">
      <c r="L27" s="34" t="s">
        <v>230</v>
      </c>
    </row>
    <row r="28" spans="12:12" ht="15" thickBot="1" x14ac:dyDescent="0.4">
      <c r="L28" s="34" t="s">
        <v>231</v>
      </c>
    </row>
    <row r="29" spans="12:12" ht="15" thickBot="1" x14ac:dyDescent="0.4">
      <c r="L29" s="34" t="s">
        <v>232</v>
      </c>
    </row>
    <row r="30" spans="12:12" ht="15" thickBot="1" x14ac:dyDescent="0.4">
      <c r="L30" s="34" t="s">
        <v>233</v>
      </c>
    </row>
    <row r="31" spans="12:12" ht="15" thickBot="1" x14ac:dyDescent="0.4">
      <c r="L31" s="34" t="s">
        <v>234</v>
      </c>
    </row>
    <row r="32" spans="12:12" ht="15" thickBot="1" x14ac:dyDescent="0.4">
      <c r="L32" s="34" t="s">
        <v>235</v>
      </c>
    </row>
    <row r="33" spans="12:12" ht="15" thickBot="1" x14ac:dyDescent="0.4">
      <c r="L33" s="34" t="s">
        <v>236</v>
      </c>
    </row>
    <row r="34" spans="12:12" ht="15" thickBot="1" x14ac:dyDescent="0.4">
      <c r="L34" s="34" t="s">
        <v>237</v>
      </c>
    </row>
    <row r="35" spans="12:12" ht="15" thickBot="1" x14ac:dyDescent="0.4">
      <c r="L35" s="34" t="s">
        <v>238</v>
      </c>
    </row>
    <row r="36" spans="12:12" ht="15" thickBot="1" x14ac:dyDescent="0.4">
      <c r="L36" s="34" t="s">
        <v>239</v>
      </c>
    </row>
    <row r="37" spans="12:12" ht="15" thickBot="1" x14ac:dyDescent="0.4">
      <c r="L37" s="34" t="s">
        <v>240</v>
      </c>
    </row>
    <row r="38" spans="12:12" ht="15" thickBot="1" x14ac:dyDescent="0.4">
      <c r="L38" s="34" t="s">
        <v>241</v>
      </c>
    </row>
  </sheetData>
  <sortState xmlns:xlrd2="http://schemas.microsoft.com/office/spreadsheetml/2017/richdata2" ref="B3:B12">
    <sortCondition ref="B3:B12"/>
  </sortState>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4675-8176-4F7B-B540-86EE0897EEEB}">
  <sheetPr>
    <pageSetUpPr fitToPage="1"/>
  </sheetPr>
  <dimension ref="A1:KS41"/>
  <sheetViews>
    <sheetView tabSelected="1" showWhiteSpace="0" view="pageLayout" zoomScale="70" zoomScaleNormal="100" zoomScalePageLayoutView="70" workbookViewId="0">
      <selection activeCell="KS1" sqref="KS1"/>
    </sheetView>
  </sheetViews>
  <sheetFormatPr defaultColWidth="0" defaultRowHeight="14.5" zeroHeight="1" x14ac:dyDescent="0.35"/>
  <cols>
    <col min="1" max="1" width="4.26953125" style="11" customWidth="1"/>
    <col min="2" max="2" width="2.54296875" customWidth="1"/>
    <col min="3" max="3" width="41.26953125" customWidth="1"/>
    <col min="4" max="4" width="13.7265625" customWidth="1"/>
    <col min="5" max="5" width="9.453125" customWidth="1"/>
    <col min="6" max="7" width="10.7265625" customWidth="1"/>
    <col min="8" max="8" width="13.54296875" customWidth="1"/>
    <col min="9" max="9" width="3.54296875" customWidth="1"/>
    <col min="10" max="11" width="2.81640625" customWidth="1"/>
    <col min="12" max="12" width="42.54296875" style="81" customWidth="1"/>
    <col min="13" max="13" width="18.54296875" style="81" customWidth="1"/>
    <col min="14" max="14" width="27" customWidth="1"/>
    <col min="15" max="15" width="29.81640625" customWidth="1"/>
    <col min="16" max="16" width="4.54296875" customWidth="1"/>
    <col min="17" max="17" width="8.7265625" style="11" customWidth="1"/>
    <col min="18" max="18" width="15.1796875" hidden="1" customWidth="1"/>
    <col min="19" max="21" width="8.81640625" hidden="1" customWidth="1"/>
    <col min="22" max="22" width="8.54296875" hidden="1" customWidth="1"/>
    <col min="23" max="16384" width="8.7265625" hidden="1"/>
  </cols>
  <sheetData>
    <row r="1" spans="2:305" ht="15" thickBot="1" x14ac:dyDescent="0.4">
      <c r="B1" s="11"/>
      <c r="C1" s="11"/>
      <c r="D1" s="11"/>
      <c r="E1" s="11"/>
      <c r="F1" s="11"/>
      <c r="G1" s="11"/>
      <c r="H1" s="11"/>
      <c r="I1" s="11"/>
      <c r="J1" s="11"/>
      <c r="K1" s="11"/>
      <c r="L1" s="142"/>
      <c r="M1" s="142"/>
      <c r="N1" s="11"/>
      <c r="O1" s="11"/>
      <c r="P1" s="11"/>
      <c r="KS1" t="s">
        <v>264</v>
      </c>
    </row>
    <row r="2" spans="2:305" ht="45" customHeight="1" x14ac:dyDescent="0.4">
      <c r="B2" s="93"/>
      <c r="C2" s="94" t="s">
        <v>242</v>
      </c>
      <c r="D2" s="94"/>
      <c r="E2" s="94"/>
      <c r="F2" s="95"/>
      <c r="G2" s="95"/>
      <c r="H2" s="95"/>
      <c r="I2" s="95"/>
      <c r="J2" s="95"/>
      <c r="K2" s="95"/>
      <c r="L2" s="95"/>
      <c r="M2" s="95"/>
      <c r="N2" s="95"/>
      <c r="O2" s="95"/>
      <c r="P2" s="96"/>
    </row>
    <row r="3" spans="2:305" x14ac:dyDescent="0.35">
      <c r="B3" s="122"/>
      <c r="C3" s="156"/>
      <c r="D3" s="156"/>
      <c r="E3" s="156"/>
      <c r="F3" s="156"/>
      <c r="G3" s="156"/>
      <c r="H3" s="156"/>
      <c r="I3" s="156"/>
      <c r="J3" s="156"/>
      <c r="K3" s="156"/>
      <c r="L3" s="156"/>
      <c r="M3" s="156"/>
      <c r="N3" s="156"/>
      <c r="O3" s="156"/>
      <c r="P3" s="157"/>
    </row>
    <row r="4" spans="2:305" ht="31.9" customHeight="1" x14ac:dyDescent="0.35">
      <c r="B4" s="122"/>
      <c r="C4" s="163" t="s">
        <v>97</v>
      </c>
      <c r="D4" s="190"/>
      <c r="E4" s="190"/>
      <c r="F4" s="190"/>
      <c r="G4" s="190"/>
      <c r="H4" s="190"/>
      <c r="I4" s="190"/>
      <c r="J4" s="190"/>
      <c r="K4" s="190"/>
      <c r="L4" s="190"/>
      <c r="M4" s="190"/>
      <c r="N4" s="190"/>
      <c r="O4" s="190"/>
      <c r="P4" s="158"/>
    </row>
    <row r="5" spans="2:305" ht="31.9" customHeight="1" x14ac:dyDescent="0.35">
      <c r="B5" s="122"/>
      <c r="C5" s="163" t="s">
        <v>98</v>
      </c>
      <c r="D5" s="191"/>
      <c r="E5" s="191"/>
      <c r="F5" s="191"/>
      <c r="G5" s="191"/>
      <c r="H5" s="191"/>
      <c r="I5" s="191"/>
      <c r="J5" s="191"/>
      <c r="K5" s="191"/>
      <c r="L5" s="191"/>
      <c r="M5" s="191"/>
      <c r="N5" s="191"/>
      <c r="O5" s="191"/>
      <c r="P5" s="159"/>
    </row>
    <row r="6" spans="2:305" ht="31.9" customHeight="1" x14ac:dyDescent="0.35">
      <c r="B6" s="122"/>
      <c r="C6" s="163" t="s">
        <v>99</v>
      </c>
      <c r="D6" s="191"/>
      <c r="E6" s="191"/>
      <c r="F6" s="191"/>
      <c r="G6" s="191"/>
      <c r="H6" s="191"/>
      <c r="I6" s="191"/>
      <c r="J6" s="191"/>
      <c r="K6" s="191"/>
      <c r="L6" s="191"/>
      <c r="M6" s="191"/>
      <c r="N6" s="191"/>
      <c r="O6" s="191"/>
      <c r="P6" s="159"/>
    </row>
    <row r="7" spans="2:305" ht="31.9" customHeight="1" x14ac:dyDescent="0.35">
      <c r="B7" s="122"/>
      <c r="C7" s="163" t="s">
        <v>100</v>
      </c>
      <c r="D7" s="191"/>
      <c r="E7" s="191"/>
      <c r="F7" s="191"/>
      <c r="G7" s="191"/>
      <c r="H7" s="191"/>
      <c r="I7" s="191"/>
      <c r="J7" s="191"/>
      <c r="K7" s="191"/>
      <c r="L7" s="191"/>
      <c r="M7" s="191"/>
      <c r="N7" s="191"/>
      <c r="O7" s="191"/>
      <c r="P7" s="159"/>
    </row>
    <row r="8" spans="2:305" ht="12" customHeight="1" thickBot="1" x14ac:dyDescent="0.4">
      <c r="B8" s="128"/>
      <c r="C8" s="160"/>
      <c r="D8" s="160"/>
      <c r="E8" s="160"/>
      <c r="F8" s="161"/>
      <c r="G8" s="161"/>
      <c r="H8" s="161"/>
      <c r="I8" s="161"/>
      <c r="J8" s="161"/>
      <c r="K8" s="161"/>
      <c r="L8" s="161"/>
      <c r="M8" s="161"/>
      <c r="N8" s="161"/>
      <c r="O8" s="161"/>
      <c r="P8" s="162"/>
    </row>
    <row r="9" spans="2:305" ht="15" thickBot="1" x14ac:dyDescent="0.4">
      <c r="B9" s="156"/>
      <c r="C9" s="156"/>
      <c r="D9" s="156"/>
      <c r="E9" s="156"/>
      <c r="F9" s="156"/>
      <c r="G9" s="156"/>
      <c r="H9" s="156"/>
      <c r="I9" s="156"/>
      <c r="J9" s="156"/>
      <c r="K9" s="156"/>
      <c r="L9" s="156"/>
      <c r="M9" s="156"/>
      <c r="N9" s="156"/>
      <c r="O9" s="156"/>
      <c r="P9" s="156"/>
    </row>
    <row r="10" spans="2:305" ht="36" customHeight="1" x14ac:dyDescent="0.4">
      <c r="B10" s="93"/>
      <c r="C10" s="94" t="s">
        <v>243</v>
      </c>
      <c r="D10" s="94"/>
      <c r="E10" s="94"/>
      <c r="F10" s="95"/>
      <c r="G10" s="95"/>
      <c r="H10" s="95"/>
      <c r="I10" s="95"/>
      <c r="J10" s="95"/>
      <c r="K10" s="95"/>
      <c r="L10" s="95"/>
      <c r="M10" s="95"/>
      <c r="N10" s="95"/>
      <c r="O10" s="95"/>
      <c r="P10" s="96"/>
    </row>
    <row r="11" spans="2:305" ht="18" customHeight="1" x14ac:dyDescent="0.35">
      <c r="B11" s="99"/>
      <c r="C11" s="188" t="s">
        <v>244</v>
      </c>
      <c r="D11" s="188"/>
      <c r="E11" s="188"/>
      <c r="F11" s="184"/>
      <c r="G11" s="184"/>
      <c r="H11" s="184"/>
      <c r="I11" s="184"/>
      <c r="J11" s="184"/>
      <c r="K11" s="184"/>
      <c r="L11" s="184"/>
      <c r="M11" s="184"/>
      <c r="N11" s="184"/>
      <c r="O11" s="184"/>
      <c r="P11" s="185"/>
      <c r="R11" s="87"/>
      <c r="S11" s="85"/>
      <c r="T11" s="85"/>
    </row>
    <row r="12" spans="2:305" ht="17.5" x14ac:dyDescent="0.35">
      <c r="B12" s="99"/>
      <c r="C12" s="188"/>
      <c r="D12" s="188"/>
      <c r="E12" s="188"/>
      <c r="F12" s="184"/>
      <c r="G12" s="184"/>
      <c r="H12" s="184"/>
      <c r="I12" s="184"/>
      <c r="J12" s="184"/>
      <c r="K12" s="184"/>
      <c r="L12" s="184"/>
      <c r="M12" s="184"/>
      <c r="N12" s="184"/>
      <c r="O12" s="184"/>
      <c r="P12" s="185"/>
      <c r="Q12" s="144"/>
    </row>
    <row r="13" spans="2:305" ht="18" thickBot="1" x14ac:dyDescent="0.4">
      <c r="B13" s="112"/>
      <c r="C13" s="189"/>
      <c r="D13" s="189"/>
      <c r="E13" s="189"/>
      <c r="F13" s="186"/>
      <c r="G13" s="186"/>
      <c r="H13" s="186"/>
      <c r="I13" s="186"/>
      <c r="J13" s="186"/>
      <c r="K13" s="186"/>
      <c r="L13" s="186"/>
      <c r="M13" s="186"/>
      <c r="N13" s="186"/>
      <c r="O13" s="186"/>
      <c r="P13" s="187"/>
      <c r="R13" s="88"/>
      <c r="S13" s="86"/>
    </row>
    <row r="14" spans="2:305" ht="19" thickBot="1" x14ac:dyDescent="0.5">
      <c r="B14" s="137"/>
      <c r="C14" s="100"/>
      <c r="D14" s="100"/>
      <c r="E14" s="100"/>
      <c r="F14" s="101"/>
      <c r="G14" s="11"/>
      <c r="H14" s="101"/>
      <c r="I14" s="101"/>
      <c r="J14" s="165"/>
      <c r="K14" s="165"/>
      <c r="L14" s="136"/>
      <c r="M14" s="83"/>
      <c r="N14" s="137"/>
      <c r="O14" s="137"/>
      <c r="P14" s="100"/>
      <c r="R14" s="92"/>
      <c r="S14" s="86"/>
    </row>
    <row r="15" spans="2:305" ht="36" customHeight="1" x14ac:dyDescent="0.4">
      <c r="B15" s="93"/>
      <c r="C15" s="94" t="s">
        <v>245</v>
      </c>
      <c r="D15" s="94"/>
      <c r="E15" s="94"/>
      <c r="F15" s="95"/>
      <c r="G15" s="95"/>
      <c r="H15" s="95"/>
      <c r="I15" s="96"/>
      <c r="J15" s="135"/>
      <c r="K15" s="98"/>
      <c r="L15" s="94" t="s">
        <v>246</v>
      </c>
      <c r="M15" s="95"/>
      <c r="N15" s="95"/>
      <c r="O15" s="95"/>
      <c r="P15" s="96"/>
    </row>
    <row r="16" spans="2:305" ht="18.5" x14ac:dyDescent="0.45">
      <c r="B16" s="99"/>
      <c r="C16" s="100"/>
      <c r="D16" s="100"/>
      <c r="E16" s="100"/>
      <c r="F16" s="101"/>
      <c r="G16" s="11"/>
      <c r="H16" s="101"/>
      <c r="I16" s="102"/>
      <c r="J16" s="135"/>
      <c r="K16" s="135"/>
      <c r="L16" s="136"/>
      <c r="M16" s="83"/>
      <c r="N16" s="137"/>
      <c r="O16" s="137"/>
      <c r="P16" s="138"/>
      <c r="R16" s="88"/>
      <c r="S16" s="86"/>
    </row>
    <row r="17" spans="2:19" ht="20.5" x14ac:dyDescent="0.45">
      <c r="B17" s="99"/>
      <c r="C17" s="103" t="s">
        <v>256</v>
      </c>
      <c r="D17" s="117">
        <v>15000</v>
      </c>
      <c r="E17" s="100"/>
      <c r="F17" s="101"/>
      <c r="G17" s="11"/>
      <c r="H17" s="101"/>
      <c r="I17" s="102"/>
      <c r="J17" s="135"/>
      <c r="K17" s="135"/>
      <c r="L17" s="104" t="s">
        <v>258</v>
      </c>
      <c r="M17" s="140" t="e">
        <f>(('Operating Heat'!C35-'Operating Heat'!C38)+'Operating AC'!C13)/10^6</f>
        <v>#DIV/0!</v>
      </c>
      <c r="N17" s="105" t="s">
        <v>247</v>
      </c>
      <c r="O17" s="11"/>
      <c r="P17" s="138"/>
      <c r="R17" s="88"/>
      <c r="S17" s="86"/>
    </row>
    <row r="18" spans="2:19" ht="21" x14ac:dyDescent="0.5">
      <c r="B18" s="99"/>
      <c r="C18" s="104" t="s">
        <v>248</v>
      </c>
      <c r="D18" s="118">
        <f>'Calculator '!C21</f>
        <v>10500</v>
      </c>
      <c r="E18" s="105" t="s">
        <v>101</v>
      </c>
      <c r="F18" s="106"/>
      <c r="G18" s="106"/>
      <c r="H18" s="107"/>
      <c r="I18" s="108"/>
      <c r="J18" s="139"/>
      <c r="K18" s="139"/>
      <c r="L18" s="104" t="s">
        <v>249</v>
      </c>
      <c r="M18" s="140" t="e">
        <f>'Calculator '!C33</f>
        <v>#DIV/0!</v>
      </c>
      <c r="N18" s="110" t="s">
        <v>250</v>
      </c>
      <c r="O18" s="141"/>
      <c r="P18" s="138"/>
      <c r="R18" s="88"/>
      <c r="S18" s="86"/>
    </row>
    <row r="19" spans="2:19" ht="21" x14ac:dyDescent="0.5">
      <c r="B19" s="99"/>
      <c r="C19" s="104" t="s">
        <v>102</v>
      </c>
      <c r="D19" s="116">
        <f>IFERROR(D18/D17,"")</f>
        <v>0.7</v>
      </c>
      <c r="E19" s="105" t="s">
        <v>251</v>
      </c>
      <c r="F19" s="106"/>
      <c r="G19" s="106"/>
      <c r="H19" s="107"/>
      <c r="I19" s="109"/>
      <c r="J19" s="120"/>
      <c r="K19" s="120"/>
      <c r="L19" s="142"/>
      <c r="M19" s="142"/>
      <c r="N19" s="11"/>
      <c r="O19" s="11"/>
      <c r="P19" s="138"/>
      <c r="R19" s="89" t="str">
        <f>IFERROR(R18/R13,"")</f>
        <v/>
      </c>
      <c r="S19" s="86"/>
    </row>
    <row r="20" spans="2:19" ht="21" x14ac:dyDescent="0.5">
      <c r="B20" s="99"/>
      <c r="C20" s="104" t="s">
        <v>257</v>
      </c>
      <c r="D20" s="107" t="e">
        <f>IF(H20&gt;0,"decrease with this new system by","increased with this new system by")</f>
        <v>#DIV/0!</v>
      </c>
      <c r="E20" s="106"/>
      <c r="F20" s="106"/>
      <c r="G20" s="110"/>
      <c r="H20" s="111" t="e">
        <f>ROUND(SUM(D30+M30),2)</f>
        <v>#DIV/0!</v>
      </c>
      <c r="I20" s="109"/>
      <c r="J20" s="143"/>
      <c r="K20" s="143"/>
      <c r="L20" s="83"/>
      <c r="M20" s="142"/>
      <c r="N20" s="144"/>
      <c r="O20" s="144"/>
      <c r="P20" s="138"/>
      <c r="R20" s="89"/>
      <c r="S20" s="86"/>
    </row>
    <row r="21" spans="2:19" ht="19" thickBot="1" x14ac:dyDescent="0.5">
      <c r="B21" s="112"/>
      <c r="C21" s="113"/>
      <c r="D21" s="113"/>
      <c r="E21" s="113"/>
      <c r="F21" s="114"/>
      <c r="G21" s="114"/>
      <c r="H21" s="114"/>
      <c r="I21" s="115"/>
      <c r="J21" s="120"/>
      <c r="K21" s="145"/>
      <c r="L21" s="146"/>
      <c r="M21" s="146"/>
      <c r="N21" s="147"/>
      <c r="O21" s="147"/>
      <c r="P21" s="148"/>
      <c r="R21" s="89"/>
      <c r="S21" s="86"/>
    </row>
    <row r="22" spans="2:19" ht="16" thickBot="1" x14ac:dyDescent="0.4">
      <c r="B22" s="156"/>
      <c r="C22" s="141"/>
      <c r="D22" s="141"/>
      <c r="E22" s="141"/>
      <c r="F22" s="82"/>
      <c r="G22" s="82"/>
      <c r="H22" s="144"/>
      <c r="I22" s="144"/>
      <c r="J22" s="144"/>
      <c r="K22" s="144"/>
      <c r="L22" s="144"/>
      <c r="M22" s="84"/>
      <c r="N22" s="11"/>
      <c r="O22" s="11"/>
      <c r="P22" s="11"/>
      <c r="R22" s="89"/>
      <c r="S22" s="86"/>
    </row>
    <row r="23" spans="2:19" ht="34.9" customHeight="1" x14ac:dyDescent="0.4">
      <c r="B23" s="93"/>
      <c r="C23" s="94" t="s">
        <v>252</v>
      </c>
      <c r="D23" s="94"/>
      <c r="E23" s="94"/>
      <c r="F23" s="95"/>
      <c r="G23" s="95"/>
      <c r="H23" s="95"/>
      <c r="I23" s="96"/>
      <c r="J23" s="166"/>
      <c r="K23" s="93"/>
      <c r="L23" s="97" t="s">
        <v>253</v>
      </c>
      <c r="M23" s="95"/>
      <c r="N23" s="95"/>
      <c r="O23" s="95"/>
      <c r="P23" s="96"/>
      <c r="R23" s="87" t="e">
        <f>IF(D30&lt;=0,"increase","decrease")</f>
        <v>#DIV/0!</v>
      </c>
      <c r="S23" s="85" t="s">
        <v>103</v>
      </c>
    </row>
    <row r="24" spans="2:19" ht="15.5" x14ac:dyDescent="0.35">
      <c r="B24" s="120"/>
      <c r="C24" s="11"/>
      <c r="D24" s="11"/>
      <c r="E24" s="11"/>
      <c r="F24" s="11"/>
      <c r="G24" s="11"/>
      <c r="H24" s="11"/>
      <c r="I24" s="121"/>
      <c r="J24" s="11"/>
      <c r="K24" s="120"/>
      <c r="L24" s="141"/>
      <c r="M24" s="149"/>
      <c r="N24" s="82"/>
      <c r="O24" s="82"/>
      <c r="P24" s="150"/>
      <c r="R24" s="87" t="str">
        <f>IF(M30&lt;=0,"increase","decrease")</f>
        <v>increase</v>
      </c>
      <c r="S24" s="85" t="s">
        <v>103</v>
      </c>
    </row>
    <row r="25" spans="2:19" ht="21" x14ac:dyDescent="0.5">
      <c r="B25" s="122"/>
      <c r="C25" s="104" t="s">
        <v>254</v>
      </c>
      <c r="D25" s="123" t="e">
        <f>R23&amp;" "&amp;S23&amp;" "&amp;T23</f>
        <v>#DIV/0!</v>
      </c>
      <c r="E25" s="106"/>
      <c r="F25" s="107"/>
      <c r="G25" s="110"/>
      <c r="H25" s="106"/>
      <c r="I25" s="124"/>
      <c r="J25" s="106"/>
      <c r="K25" s="151"/>
      <c r="L25" s="104" t="s">
        <v>259</v>
      </c>
      <c r="M25" s="123" t="str">
        <f>R24&amp;" "&amp;S24&amp;" "&amp;T24</f>
        <v xml:space="preserve">increase with this new system </v>
      </c>
      <c r="N25" s="107"/>
      <c r="O25" s="107"/>
      <c r="P25" s="124"/>
      <c r="R25" s="87" t="str">
        <f>IF(M32&lt;=0,"increase","decrease")</f>
        <v>increase</v>
      </c>
      <c r="S25" s="85" t="s">
        <v>103</v>
      </c>
    </row>
    <row r="26" spans="2:19" ht="21" x14ac:dyDescent="0.5">
      <c r="B26" s="122"/>
      <c r="C26" s="104" t="s">
        <v>255</v>
      </c>
      <c r="D26" s="125" t="e">
        <f>'Calculator '!C28</f>
        <v>#DIV/0!</v>
      </c>
      <c r="E26" s="119" t="str">
        <f>'Calculator '!D28</f>
        <v>Gallons</v>
      </c>
      <c r="F26" s="106"/>
      <c r="G26" s="107"/>
      <c r="H26" s="106"/>
      <c r="I26" s="126"/>
      <c r="J26" s="106"/>
      <c r="K26" s="151"/>
      <c r="L26" s="104" t="s">
        <v>40</v>
      </c>
      <c r="M26" s="125">
        <f>'Calculator '!C31</f>
        <v>-1869.9999966339999</v>
      </c>
      <c r="N26" s="119" t="str">
        <f>'Calculator '!D31</f>
        <v>kWh</v>
      </c>
      <c r="O26" s="106"/>
      <c r="P26" s="152"/>
      <c r="R26" s="87"/>
      <c r="S26" s="85"/>
    </row>
    <row r="27" spans="2:19" ht="21" x14ac:dyDescent="0.5">
      <c r="B27" s="122"/>
      <c r="C27" s="104" t="s">
        <v>39</v>
      </c>
      <c r="D27" s="125" t="e">
        <f>'Calculator '!C29</f>
        <v>#DIV/0!</v>
      </c>
      <c r="E27" s="119" t="str">
        <f>'Calculator '!D29</f>
        <v>kWh</v>
      </c>
      <c r="F27" s="106"/>
      <c r="G27" s="107"/>
      <c r="H27" s="106"/>
      <c r="I27" s="126"/>
      <c r="J27" s="106"/>
      <c r="K27" s="151"/>
      <c r="L27" s="40"/>
      <c r="M27" s="142"/>
      <c r="N27" s="11"/>
      <c r="O27" s="119"/>
      <c r="P27" s="124"/>
      <c r="R27" s="89"/>
      <c r="S27" s="86"/>
    </row>
    <row r="28" spans="2:19" ht="21" x14ac:dyDescent="0.5">
      <c r="B28" s="120"/>
      <c r="C28" s="104" t="s">
        <v>33</v>
      </c>
      <c r="D28" s="127" t="e">
        <f>'Calculator '!C24</f>
        <v>#DIV/0!</v>
      </c>
      <c r="E28" s="119" t="str">
        <f>'Calculator '!D24</f>
        <v>Heating Operating Costs</v>
      </c>
      <c r="F28" s="106"/>
      <c r="G28" s="107"/>
      <c r="H28" s="106"/>
      <c r="I28" s="126"/>
      <c r="J28" s="106"/>
      <c r="K28" s="151"/>
      <c r="L28" s="104" t="s">
        <v>33</v>
      </c>
      <c r="M28" s="127">
        <f>'Operating AC'!C10*'Calculator '!C11</f>
        <v>1.1781E-6</v>
      </c>
      <c r="N28" s="119" t="s">
        <v>104</v>
      </c>
      <c r="O28" s="119"/>
      <c r="P28" s="124"/>
      <c r="R28" s="90"/>
      <c r="S28" s="86"/>
    </row>
    <row r="29" spans="2:19" ht="21" x14ac:dyDescent="0.5">
      <c r="B29" s="120"/>
      <c r="C29" s="104" t="s">
        <v>34</v>
      </c>
      <c r="D29" s="127" t="e">
        <f>'Calculator '!C25</f>
        <v>#DIV/0!</v>
      </c>
      <c r="E29" s="119" t="str">
        <f>E28</f>
        <v>Heating Operating Costs</v>
      </c>
      <c r="F29" s="119"/>
      <c r="G29" s="107"/>
      <c r="H29" s="106"/>
      <c r="I29" s="126"/>
      <c r="J29" s="106"/>
      <c r="K29" s="151"/>
      <c r="L29" s="104" t="s">
        <v>34</v>
      </c>
      <c r="M29" s="127">
        <f>'Operating AC'!C11*'Calculator '!C11</f>
        <v>654.5</v>
      </c>
      <c r="N29" s="119" t="str">
        <f>N28</f>
        <v>Cooling Operating Costs</v>
      </c>
      <c r="O29" s="110"/>
      <c r="P29" s="124"/>
      <c r="R29" s="91"/>
      <c r="S29" s="86"/>
    </row>
    <row r="30" spans="2:19" ht="21" x14ac:dyDescent="0.5">
      <c r="B30" s="122"/>
      <c r="C30" s="104" t="s">
        <v>35</v>
      </c>
      <c r="D30" s="134" t="e">
        <f>'Calculator '!C26</f>
        <v>#DIV/0!</v>
      </c>
      <c r="E30" s="119" t="str">
        <f>E29</f>
        <v>Heating Operating Costs</v>
      </c>
      <c r="F30" s="119"/>
      <c r="G30" s="107"/>
      <c r="H30" s="106"/>
      <c r="I30" s="126"/>
      <c r="J30" s="106"/>
      <c r="K30" s="151"/>
      <c r="L30" s="104" t="s">
        <v>35</v>
      </c>
      <c r="M30" s="127">
        <f>M28-M29</f>
        <v>-654.49999882190002</v>
      </c>
      <c r="N30" s="119" t="str">
        <f>N29</f>
        <v>Cooling Operating Costs</v>
      </c>
      <c r="O30" s="110"/>
      <c r="P30" s="124"/>
    </row>
    <row r="31" spans="2:19" ht="21.5" thickBot="1" x14ac:dyDescent="0.55000000000000004">
      <c r="B31" s="128"/>
      <c r="C31" s="129"/>
      <c r="D31" s="129"/>
      <c r="E31" s="129"/>
      <c r="F31" s="130"/>
      <c r="G31" s="131"/>
      <c r="H31" s="132"/>
      <c r="I31" s="133"/>
      <c r="J31" s="106"/>
      <c r="K31" s="153"/>
      <c r="L31" s="129"/>
      <c r="M31" s="154"/>
      <c r="N31" s="129"/>
      <c r="O31" s="129"/>
      <c r="P31" s="155"/>
    </row>
    <row r="32" spans="2:19" ht="15.5" x14ac:dyDescent="0.35">
      <c r="B32" s="156"/>
      <c r="C32" s="11"/>
      <c r="D32" s="11"/>
      <c r="E32" s="11"/>
      <c r="F32" s="11"/>
      <c r="G32" s="11"/>
      <c r="H32" s="11"/>
      <c r="I32" s="11"/>
      <c r="J32" s="144"/>
      <c r="K32" s="144"/>
      <c r="L32" s="144"/>
      <c r="M32" s="167"/>
      <c r="N32" s="142"/>
      <c r="O32" s="142"/>
      <c r="P32" s="11"/>
    </row>
    <row r="33" spans="2:17" ht="15.5" customHeight="1" x14ac:dyDescent="0.35">
      <c r="B33" s="156"/>
      <c r="C33" s="183" t="s">
        <v>269</v>
      </c>
      <c r="D33" s="183"/>
      <c r="E33" s="183"/>
      <c r="F33" s="183"/>
      <c r="G33" s="183"/>
      <c r="H33" s="183"/>
      <c r="I33" s="183"/>
      <c r="J33" s="183"/>
      <c r="K33" s="183"/>
      <c r="L33" s="183"/>
      <c r="M33" s="142"/>
      <c r="N33" s="164" t="s">
        <v>105</v>
      </c>
      <c r="O33" s="164"/>
      <c r="P33" s="11"/>
    </row>
    <row r="34" spans="2:17" ht="15.5" x14ac:dyDescent="0.35">
      <c r="B34" s="11"/>
      <c r="C34" s="183"/>
      <c r="D34" s="183"/>
      <c r="E34" s="183"/>
      <c r="F34" s="183"/>
      <c r="G34" s="183"/>
      <c r="H34" s="183"/>
      <c r="I34" s="183"/>
      <c r="J34" s="183"/>
      <c r="K34" s="183"/>
      <c r="L34" s="183"/>
      <c r="M34" s="142"/>
      <c r="N34" s="164" t="s">
        <v>77</v>
      </c>
      <c r="O34" s="164" t="str">
        <f>'Calculator '!C11 &amp; 'Calculator '!D11</f>
        <v>0.35$/kWh</v>
      </c>
      <c r="P34" s="11"/>
    </row>
    <row r="35" spans="2:17" ht="15.5" x14ac:dyDescent="0.35">
      <c r="B35" s="11"/>
      <c r="C35" s="183"/>
      <c r="D35" s="183"/>
      <c r="E35" s="183"/>
      <c r="F35" s="183"/>
      <c r="G35" s="183"/>
      <c r="H35" s="183"/>
      <c r="I35" s="183"/>
      <c r="J35" s="183"/>
      <c r="K35" s="183"/>
      <c r="L35" s="183"/>
      <c r="M35" s="142"/>
      <c r="N35" s="164" t="s">
        <v>24</v>
      </c>
      <c r="O35" s="164" t="str">
        <f>'Calculator '!C12 &amp;'Calculator '!D12</f>
        <v>3$/Gallon</v>
      </c>
      <c r="P35" s="164"/>
      <c r="Q35" s="164"/>
    </row>
    <row r="36" spans="2:17" ht="15.5" x14ac:dyDescent="0.35">
      <c r="B36" s="11"/>
      <c r="C36" s="183"/>
      <c r="D36" s="183"/>
      <c r="E36" s="183"/>
      <c r="F36" s="183"/>
      <c r="G36" s="183"/>
      <c r="H36" s="183"/>
      <c r="I36" s="183"/>
      <c r="J36" s="183"/>
      <c r="K36" s="183"/>
      <c r="L36" s="183"/>
      <c r="M36" s="84"/>
      <c r="N36" s="11"/>
      <c r="O36" s="11"/>
      <c r="P36" s="11"/>
    </row>
    <row r="37" spans="2:17" ht="15.5" customHeight="1" x14ac:dyDescent="0.35">
      <c r="B37" s="11"/>
      <c r="C37" s="183"/>
      <c r="D37" s="183"/>
      <c r="E37" s="183"/>
      <c r="F37" s="183"/>
      <c r="G37" s="183"/>
      <c r="H37" s="183"/>
      <c r="I37" s="183"/>
      <c r="J37" s="183"/>
      <c r="K37" s="183"/>
      <c r="L37" s="183"/>
      <c r="M37" s="142"/>
      <c r="N37" s="11"/>
      <c r="O37" s="11"/>
      <c r="P37" s="11"/>
    </row>
    <row r="38" spans="2:17" ht="15.5" x14ac:dyDescent="0.35">
      <c r="B38" s="11"/>
      <c r="C38" s="183"/>
      <c r="D38" s="183"/>
      <c r="E38" s="183"/>
      <c r="F38" s="183"/>
      <c r="G38" s="183"/>
      <c r="H38" s="183"/>
      <c r="I38" s="183"/>
      <c r="J38" s="183"/>
      <c r="K38" s="183"/>
      <c r="L38" s="183"/>
      <c r="M38" s="142"/>
      <c r="N38" s="164"/>
      <c r="O38" s="164"/>
      <c r="P38" s="11"/>
    </row>
    <row r="39" spans="2:17" ht="15.5" customHeight="1" x14ac:dyDescent="0.35">
      <c r="B39" s="11"/>
      <c r="C39" s="183"/>
      <c r="D39" s="183"/>
      <c r="E39" s="183"/>
      <c r="F39" s="183"/>
      <c r="G39" s="183"/>
      <c r="H39" s="183"/>
      <c r="I39" s="183"/>
      <c r="J39" s="183"/>
      <c r="K39" s="183"/>
      <c r="L39" s="183"/>
      <c r="M39" s="142"/>
      <c r="N39" s="11"/>
      <c r="O39" s="11"/>
      <c r="P39" s="11"/>
    </row>
    <row r="40" spans="2:17" ht="175" customHeight="1" x14ac:dyDescent="0.35">
      <c r="B40" s="11"/>
      <c r="C40" s="183"/>
      <c r="D40" s="183"/>
      <c r="E40" s="183"/>
      <c r="F40" s="183"/>
      <c r="G40" s="183"/>
      <c r="H40" s="183"/>
      <c r="I40" s="183"/>
      <c r="J40" s="183"/>
      <c r="K40" s="183"/>
      <c r="L40" s="183"/>
      <c r="M40" s="142"/>
      <c r="N40" s="11"/>
      <c r="O40" s="11"/>
      <c r="P40" s="11"/>
    </row>
    <row r="41" spans="2:17" ht="15.5" x14ac:dyDescent="0.35">
      <c r="B41" s="11"/>
      <c r="C41" s="11"/>
      <c r="D41" s="11"/>
      <c r="E41" s="11"/>
      <c r="F41" s="11"/>
      <c r="G41" s="11"/>
      <c r="H41" s="11"/>
      <c r="I41" s="11"/>
      <c r="J41" s="144"/>
      <c r="K41" s="144"/>
      <c r="L41" s="144"/>
      <c r="M41" s="144"/>
      <c r="N41" s="144"/>
      <c r="O41" s="144"/>
      <c r="P41" s="144"/>
    </row>
  </sheetData>
  <mergeCells count="7">
    <mergeCell ref="C33:L40"/>
    <mergeCell ref="F11:P13"/>
    <mergeCell ref="C11:E13"/>
    <mergeCell ref="D4:O4"/>
    <mergeCell ref="D5:O5"/>
    <mergeCell ref="D6:O6"/>
    <mergeCell ref="D7:O7"/>
  </mergeCells>
  <pageMargins left="0.7" right="0.7" top="0.75" bottom="0.75" header="0.3" footer="0.3"/>
  <pageSetup scale="36" orientation="portrait" r:id="rId1"/>
  <headerFooter>
    <oddHeader>&amp;C&amp;"-,Bold"&amp;18DRAFT</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69682783-438D-430D-AA68-68FFE202F427}">
            <xm:f>$O$34=Lists!$D$3</xm:f>
            <x14:dxf>
              <font>
                <color theme="0"/>
              </font>
              <fill>
                <patternFill>
                  <bgColor theme="0"/>
                </patternFill>
              </fill>
            </x14:dxf>
          </x14:cfRule>
          <xm:sqref>N35 N38:O38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5" ma:contentTypeDescription="Create a new document." ma:contentTypeScope="" ma:versionID="1c49fac977f8a33f7c60b2019e13682f">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36aef801b7f43da0c36c8f4dbac477b9"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d4b8821-ef37-4f53-aebe-b776e57a59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17E3E-B82D-4446-8213-C5E14E233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CC398-EEEF-4AC7-AE65-0430ACE6A24D}">
  <ds:schemaRefs>
    <ds:schemaRef ds:uri="http://schemas.microsoft.com/office/2006/documentManagement/types"/>
    <ds:schemaRef ds:uri="89984dcb-58f2-4374-af9f-0bb0e3f8c7f5"/>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d4b8821-ef37-4f53-aebe-b776e57a5947"/>
    <ds:schemaRef ds:uri="http://www.w3.org/XML/1998/namespace"/>
    <ds:schemaRef ds:uri="http://purl.org/dc/dcmitype/"/>
  </ds:schemaRefs>
</ds:datastoreItem>
</file>

<file path=customXml/itemProps3.xml><?xml version="1.0" encoding="utf-8"?>
<ds:datastoreItem xmlns:ds="http://schemas.openxmlformats.org/officeDocument/2006/customXml" ds:itemID="{D602520C-27C4-4EEE-B0C9-A1AA533A33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 Page</vt:lpstr>
      <vt:lpstr>Color Code</vt:lpstr>
      <vt:lpstr>Calculator </vt:lpstr>
      <vt:lpstr>HP Sizer</vt:lpstr>
      <vt:lpstr>Operating AC</vt:lpstr>
      <vt:lpstr>Operating Heat</vt:lpstr>
      <vt:lpstr>Install Cost</vt:lpstr>
      <vt:lpstr>GHG Estimator</vt:lpstr>
      <vt:lpstr>Incentive Estimator</vt:lpstr>
      <vt:lpstr>Lists</vt:lpstr>
      <vt:lpstr>Print Out Page</vt:lpstr>
      <vt:lpstr>KS</vt:lpstr>
      <vt:lpstr>'Print Out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Silveira, Kevin</dc:creator>
  <cp:keywords/>
  <dc:description/>
  <cp:lastModifiedBy>Silveira, Kevin</cp:lastModifiedBy>
  <cp:revision/>
  <cp:lastPrinted>2023-06-01T00:39:11Z</cp:lastPrinted>
  <dcterms:created xsi:type="dcterms:W3CDTF">2023-01-13T19:10:58Z</dcterms:created>
  <dcterms:modified xsi:type="dcterms:W3CDTF">2023-06-16T00:31:19Z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0x01010093C1E4F299B2C34EACE6CDBFBF47AAEA</vt:lpwstr>
  </property>
  <property fmtid="{D5CDD505-2E9C-101B-9397-08002B2CF9AE}" pid="3" name="MediaServiceImageTags">
    <vt:lpwstr/>
  </property>
</Properties>
</file>